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autoCompressPictures="0"/>
  <bookViews>
    <workbookView xWindow="0" yWindow="0" windowWidth="21840" windowHeight="13740"/>
  </bookViews>
  <sheets>
    <sheet name="Budget" sheetId="12" r:id="rId1"/>
    <sheet name="Other Inputs" sheetId="8" r:id="rId2"/>
    <sheet name="FHA Waterfall" sheetId="16" r:id="rId3"/>
    <sheet name="MIP Calculator" sheetId="13" state="hidden" r:id="rId4"/>
    <sheet name="Workout Result" sheetId="11" r:id="rId5"/>
    <sheet name="Data Validation" sheetId="14" state="hidden" r:id="rId6"/>
  </sheets>
  <externalReferences>
    <externalReference r:id="rId7"/>
    <externalReference r:id="rId8"/>
    <externalReference r:id="rId9"/>
  </externalReferences>
  <definedNames>
    <definedName name="AffNeg" localSheetId="2">#REF!</definedName>
    <definedName name="AffNeg">#REF!</definedName>
    <definedName name="CAPUPB">'FHA Waterfall'!$F$23</definedName>
    <definedName name="Current">'[1]Data Validation'!$I$2:$J$4</definedName>
    <definedName name="DDate">'Other Inputs'!$E$28</definedName>
    <definedName name="DIPMT">'Data Validation'!#REF!</definedName>
    <definedName name="DMPC">'Data Validation'!$B$5</definedName>
    <definedName name="DMWIP">'Data Validation'!$B$6</definedName>
    <definedName name="DSAHM">'Data Validation'!$B$4</definedName>
    <definedName name="DSAM">'Data Validation'!#REF!</definedName>
    <definedName name="DSAPC">'Data Validation'!#REF!</definedName>
    <definedName name="DSAPM">'Data Validation'!#REF!</definedName>
    <definedName name="DTI">'[2]Tier 2 - Standard'!$P$32</definedName>
    <definedName name="DTI_Range">'[2]Data Validation'!$D$2:$F$19</definedName>
    <definedName name="DUPB">'Other Inputs'!$E$31</definedName>
    <definedName name="EMPC">'Data Validation'!#REF!</definedName>
    <definedName name="FPAY">'Other Inputs'!$E$11</definedName>
    <definedName name="fpdate" localSheetId="0">#REF!</definedName>
    <definedName name="fpdate" localSheetId="2">#REF!</definedName>
    <definedName name="fpdate">#REF!</definedName>
    <definedName name="GFORB">'Data Validation'!$B$8</definedName>
    <definedName name="GIPMT">'Data Validation'!#REF!</definedName>
    <definedName name="GMI">Budget!$E$65</definedName>
    <definedName name="GMPC">'Data Validation'!#REF!</definedName>
    <definedName name="GMPCAD">'Data Validation'!#REF!</definedName>
    <definedName name="GSAHM">'Data Validation'!$B$11</definedName>
    <definedName name="GSAM">'Data Validation'!#REF!</definedName>
    <definedName name="GSAPC">'Data Validation'!$B$10</definedName>
    <definedName name="GTM">'Data Validation'!$B$9</definedName>
    <definedName name="infotype">'Data Validation'!$B$17</definedName>
    <definedName name="JulyRules">'[2]Data Validation'!$A$12</definedName>
    <definedName name="LOANTERM">'Other Inputs'!$E$9</definedName>
    <definedName name="Market">'Other Inputs'!$E$43</definedName>
    <definedName name="MaxDTI">'[2]Tier 2 - Standard'!$N$30</definedName>
    <definedName name="MinDTI">'[2]Tier 2 - Standard'!$L$30</definedName>
    <definedName name="MIP">'MIP Calculator'!$C$7</definedName>
    <definedName name="MIPFIN">'Other Inputs'!$E$16</definedName>
    <definedName name="MIPMATRIX">'MIP Calculator'!$E$2:$L$5</definedName>
    <definedName name="MIPRATE">'MIP Calculator'!$A$18</definedName>
    <definedName name="NoMod">'Data Validation'!$B$14</definedName>
    <definedName name="nper" localSheetId="0">Budget!term*12</definedName>
    <definedName name="nper" localSheetId="2">'FHA Waterfall'!term*12</definedName>
    <definedName name="nper" localSheetId="1">'Other Inputs'!TERM*12</definedName>
    <definedName name="nper">term*12</definedName>
    <definedName name="NPRINC">'Workout Result'!$D$8</definedName>
    <definedName name="NRATE">'Workout Result'!$D$10</definedName>
    <definedName name="NTERM">'Workout Result'!$D$11</definedName>
    <definedName name="numsteps">'[2]Data Validation'!$B$4</definedName>
    <definedName name="OPRINC">'Other Inputs'!$E$8</definedName>
    <definedName name="ORATE">'Other Inputs'!$E$18</definedName>
    <definedName name="OutcomeMatrix">'Data Validation'!$E$3:$L$10</definedName>
    <definedName name="OVALUE">'Other Inputs'!$E$17</definedName>
    <definedName name="Owner">'[2]Data Validation'!$A$10</definedName>
    <definedName name="Payoff">'Other Inputs'!$E$25</definedName>
    <definedName name="PIFAIL">'[2]Data Validation'!$A$6</definedName>
    <definedName name="PIREDUCTION">'[2]Tier 2 - Standard'!$P$39</definedName>
    <definedName name="PMMS">'[2]Data Validation'!$B$5</definedName>
    <definedName name="PMUPB">'[1]HAMP Tier 1'!$E$22</definedName>
    <definedName name="_xlnm.Print_Area" localSheetId="2">'FHA Waterfall'!$A$1:$O$41</definedName>
    <definedName name="PTM">'Data Validation'!#REF!</definedName>
    <definedName name="rangeunknown">'[2]Data Validation'!$A$14</definedName>
    <definedName name="rate">'Other Inputs'!$E$10</definedName>
    <definedName name="RateType">#REF!</definedName>
    <definedName name="Rental">#REF!</definedName>
    <definedName name="Servicer">#REF!</definedName>
    <definedName name="Servicer_List">'[2]Data Validation'!$D$2:$D$20</definedName>
    <definedName name="sline">'[2]Data Validation'!$A$13</definedName>
    <definedName name="StepFive">'Data Validation'!$B$2</definedName>
    <definedName name="StepFour">'Data Validation'!$B$1</definedName>
    <definedName name="StepSix">'Data Validation'!$B$3</definedName>
    <definedName name="StepThree">'Data Validation'!#REF!</definedName>
    <definedName name="T2DEBT">#REF!</definedName>
    <definedName name="T2PITIA">'[2]Tier 2 - Standard'!$P$28</definedName>
    <definedName name="Target">'FHA Waterfall'!$F$39</definedName>
    <definedName name="term" localSheetId="0">'[3]HAMP Amortization Schedule'!$D$7</definedName>
    <definedName name="term" localSheetId="2">#REF!</definedName>
    <definedName name="TERM" localSheetId="1">'Other Inputs'!$E$9</definedName>
    <definedName name="term">#REF!</definedName>
    <definedName name="Test" localSheetId="2">'FHA Waterfall'!$B$2:$C$2</definedName>
    <definedName name="Test">#REF!</definedName>
    <definedName name="TIA" localSheetId="0">Budget!$N$16</definedName>
    <definedName name="TIA">'Other Inputs'!$F$21</definedName>
    <definedName name="TODAY">'Other Inputs'!$E$29</definedName>
    <definedName name="TYPE">#REF!</definedName>
    <definedName name="UFMIPRATE">'MIP Calculator'!$B$18</definedName>
    <definedName name="Value">#REF!</definedName>
  </definedNames>
  <calcPr calcId="125725"/>
</workbook>
</file>

<file path=xl/calcChain.xml><?xml version="1.0" encoding="utf-8"?>
<calcChain xmlns="http://schemas.openxmlformats.org/spreadsheetml/2006/main">
  <c r="B47" i="8"/>
  <c r="F4" i="13" l="1"/>
  <c r="L2"/>
  <c r="H2"/>
  <c r="I2"/>
  <c r="J2"/>
  <c r="K2"/>
  <c r="G2"/>
  <c r="F2"/>
  <c r="B18" s="1"/>
  <c r="B18" i="8"/>
  <c r="B17"/>
  <c r="B19"/>
  <c r="B41"/>
  <c r="E21"/>
  <c r="H9" i="14"/>
  <c r="K4"/>
  <c r="E29" i="8"/>
  <c r="A18" i="13" l="1"/>
  <c r="C10"/>
  <c r="E30" i="8"/>
  <c r="H10" i="14"/>
  <c r="E32" i="8" l="1"/>
  <c r="E34"/>
  <c r="E33"/>
  <c r="B17" i="14"/>
  <c r="E31" i="8" s="1"/>
  <c r="N6" i="16" s="1"/>
  <c r="J5" i="13" l="1"/>
  <c r="H5"/>
  <c r="F5"/>
  <c r="K5"/>
  <c r="I5"/>
  <c r="G5"/>
  <c r="C16"/>
  <c r="B35" i="8"/>
  <c r="B36"/>
  <c r="B27"/>
  <c r="B38"/>
  <c r="B37"/>
  <c r="B34"/>
  <c r="B33"/>
  <c r="B32"/>
  <c r="B31"/>
  <c r="B30"/>
  <c r="B29"/>
  <c r="B26"/>
  <c r="B2" i="13"/>
  <c r="E35" i="8"/>
  <c r="B20"/>
  <c r="B16"/>
  <c r="E43"/>
  <c r="B7"/>
  <c r="E42" i="12"/>
  <c r="E10"/>
  <c r="E14"/>
  <c r="D14"/>
  <c r="B40"/>
  <c r="E61"/>
  <c r="E62" s="1"/>
  <c r="B8"/>
  <c r="E33"/>
  <c r="E34" s="1"/>
  <c r="D47"/>
  <c r="D19"/>
  <c r="N7" i="16"/>
  <c r="E19" i="12"/>
  <c r="E47"/>
  <c r="M47"/>
  <c r="M11" i="8" s="1"/>
  <c r="C13" i="13" l="1"/>
  <c r="L5" s="1"/>
  <c r="J9" i="14"/>
  <c r="K9"/>
  <c r="I9"/>
  <c r="G9"/>
  <c r="F22" i="16"/>
  <c r="N12"/>
  <c r="E49" i="12"/>
  <c r="M8" i="8"/>
  <c r="E21" i="12"/>
  <c r="B1" i="13"/>
  <c r="A4" s="1"/>
  <c r="L4" l="1"/>
  <c r="K4"/>
  <c r="J4"/>
  <c r="I4"/>
  <c r="H4"/>
  <c r="G4"/>
  <c r="E65" i="12"/>
  <c r="M7" i="8" s="1"/>
  <c r="F33" i="16" s="1"/>
  <c r="B4" i="13"/>
  <c r="A5"/>
  <c r="B5" s="1"/>
  <c r="F35" i="16"/>
  <c r="N8"/>
  <c r="M9" i="8" l="1"/>
  <c r="M15" s="1"/>
  <c r="N28" i="16"/>
  <c r="A6" i="13"/>
  <c r="B6" s="1"/>
  <c r="F7" i="16" l="1"/>
  <c r="A7" i="13"/>
  <c r="B7" s="1"/>
  <c r="A8" l="1"/>
  <c r="A9" l="1"/>
  <c r="B8"/>
  <c r="B9" l="1"/>
  <c r="A10"/>
  <c r="B10" l="1"/>
  <c r="A11"/>
  <c r="B11" l="1"/>
  <c r="A12"/>
  <c r="B12" l="1"/>
  <c r="A13"/>
  <c r="B13" l="1"/>
  <c r="A14"/>
  <c r="B14" l="1"/>
  <c r="A15"/>
  <c r="B15" s="1"/>
  <c r="C4" l="1"/>
  <c r="C7" s="1"/>
  <c r="E19" i="8" l="1"/>
  <c r="E36" s="1"/>
  <c r="E22" l="1"/>
  <c r="N14" i="16" s="1"/>
  <c r="E38" i="8"/>
  <c r="F12" i="16" s="1"/>
  <c r="F21" i="8" l="1"/>
  <c r="H8" i="14"/>
  <c r="F23" i="16"/>
  <c r="F21"/>
  <c r="H5" i="14"/>
  <c r="M12" i="8"/>
  <c r="M13" s="1"/>
  <c r="M16" s="1"/>
  <c r="F34" i="16"/>
  <c r="F36" s="1"/>
  <c r="F37" s="1"/>
  <c r="F39" s="1"/>
  <c r="N13" s="1"/>
  <c r="H7" i="14" l="1"/>
  <c r="H6"/>
  <c r="M17" i="8"/>
  <c r="F6" i="16" s="1"/>
  <c r="I7" i="14"/>
  <c r="N15" i="16"/>
  <c r="K7" i="14"/>
  <c r="K8" s="1"/>
  <c r="N33" i="16"/>
  <c r="K5" i="14" s="1"/>
  <c r="K6" s="1"/>
  <c r="N27" i="16"/>
  <c r="J7" i="14" s="1"/>
  <c r="J8" s="1"/>
  <c r="F24" i="16"/>
  <c r="G5" i="14" s="1"/>
  <c r="G6" s="1"/>
  <c r="N21" i="16"/>
  <c r="I5" i="14" s="1"/>
  <c r="I6" s="1"/>
  <c r="G7"/>
  <c r="N20" i="16"/>
  <c r="J5" i="14"/>
  <c r="J6" s="1"/>
  <c r="F13" i="16"/>
  <c r="F14" s="1"/>
  <c r="F15" s="1"/>
  <c r="F8" l="1"/>
  <c r="B1" i="14" s="1"/>
  <c r="B2" s="1"/>
  <c r="N34" i="16"/>
  <c r="N35" s="1"/>
  <c r="N22"/>
  <c r="L5" i="14"/>
  <c r="F26" i="16"/>
  <c r="N29"/>
  <c r="F25"/>
  <c r="C9" l="1"/>
  <c r="F27"/>
  <c r="B3" i="14" s="1"/>
  <c r="K14" i="16" s="1"/>
  <c r="B8" i="14"/>
  <c r="F3" s="1"/>
  <c r="C16" i="16"/>
  <c r="B14"/>
  <c r="B13"/>
  <c r="B12"/>
  <c r="B11"/>
  <c r="B15"/>
  <c r="A18"/>
  <c r="B20"/>
  <c r="B26"/>
  <c r="B25"/>
  <c r="B22"/>
  <c r="B27"/>
  <c r="B24"/>
  <c r="B23"/>
  <c r="B21"/>
  <c r="C28"/>
  <c r="B9" i="14" l="1"/>
  <c r="G3" s="1"/>
  <c r="J10" i="16"/>
  <c r="J11"/>
  <c r="K12"/>
  <c r="K6"/>
  <c r="C35"/>
  <c r="J8"/>
  <c r="J15"/>
  <c r="C33"/>
  <c r="B32"/>
  <c r="K16"/>
  <c r="K13"/>
  <c r="A30"/>
  <c r="B10" i="14"/>
  <c r="C37" i="16"/>
  <c r="J5"/>
  <c r="C34"/>
  <c r="C36"/>
  <c r="K7"/>
  <c r="B39"/>
  <c r="H3" i="14" l="1"/>
  <c r="B4"/>
  <c r="K23" i="16" s="1"/>
  <c r="K21" l="1"/>
  <c r="J22"/>
  <c r="J19"/>
  <c r="K20"/>
  <c r="B11" i="14"/>
  <c r="J18" i="16"/>
  <c r="I3" i="14" l="1"/>
  <c r="B5"/>
  <c r="J26" i="16" l="1"/>
  <c r="J29"/>
  <c r="K28"/>
  <c r="J25"/>
  <c r="K27"/>
  <c r="B12" i="14"/>
  <c r="J3" s="1"/>
  <c r="B6" l="1"/>
  <c r="K33" i="16" s="1"/>
  <c r="J32" l="1"/>
  <c r="J31"/>
  <c r="K34"/>
  <c r="J35"/>
  <c r="B13" i="14"/>
  <c r="K3" s="1"/>
  <c r="K37" i="16" l="1"/>
  <c r="B14" i="14"/>
  <c r="C6" i="11" l="1"/>
  <c r="L3" i="14"/>
  <c r="C4" i="11" l="1"/>
  <c r="D11"/>
  <c r="D10"/>
  <c r="D9"/>
  <c r="D8"/>
  <c r="D7"/>
  <c r="D6"/>
</calcChain>
</file>

<file path=xl/sharedStrings.xml><?xml version="1.0" encoding="utf-8"?>
<sst xmlns="http://schemas.openxmlformats.org/spreadsheetml/2006/main" count="196" uniqueCount="159">
  <si>
    <t>BORROWER INFORMATION</t>
  </si>
  <si>
    <t>Employment Income</t>
  </si>
  <si>
    <t>Fixed Income</t>
  </si>
  <si>
    <t>Rental income</t>
  </si>
  <si>
    <t>Contribution</t>
  </si>
  <si>
    <t>PITIA</t>
  </si>
  <si>
    <t>MORTGAGE INFORMATION</t>
  </si>
  <si>
    <t>SSI, Food Stamps, etc.</t>
  </si>
  <si>
    <t>SSA / SSD / Pension</t>
  </si>
  <si>
    <t>Loan Terms</t>
  </si>
  <si>
    <t>Original Principal</t>
  </si>
  <si>
    <t>Borrower Gross Monthly Income</t>
  </si>
  <si>
    <t>Market Interest Rate</t>
  </si>
  <si>
    <t>Date of First Payment</t>
  </si>
  <si>
    <t>PITIA (see mortgage info.)</t>
  </si>
  <si>
    <t>Total Surplus Income</t>
  </si>
  <si>
    <t>YES</t>
  </si>
  <si>
    <t>NO</t>
  </si>
  <si>
    <t>FHA WATERFALL</t>
  </si>
  <si>
    <t>FHA WATERFALL INPUTS</t>
  </si>
  <si>
    <t>FHA WATERFALL BUDGET</t>
  </si>
  <si>
    <t>Clothing</t>
  </si>
  <si>
    <t>Transportation</t>
  </si>
  <si>
    <t>Housing Expenses</t>
  </si>
  <si>
    <t>Second Mortgage/Home Equity</t>
  </si>
  <si>
    <t>Other Mortgage</t>
  </si>
  <si>
    <t>Property Maintenance</t>
  </si>
  <si>
    <t>Time Share Property</t>
  </si>
  <si>
    <t>Water/Sewage</t>
  </si>
  <si>
    <t>Heating/Electricity</t>
  </si>
  <si>
    <t>Credit Cards</t>
  </si>
  <si>
    <t>Student Loan</t>
  </si>
  <si>
    <t>Automobile Loan</t>
  </si>
  <si>
    <t>Other Loan</t>
  </si>
  <si>
    <t>Personal/Living Expenses</t>
  </si>
  <si>
    <t>Cable TV/Satellite</t>
  </si>
  <si>
    <t>Telephone/Pager/Mobile Phone</t>
  </si>
  <si>
    <t>Online Service</t>
  </si>
  <si>
    <t>Groceries/Food</t>
  </si>
  <si>
    <t>Spending Money</t>
  </si>
  <si>
    <t>Life Insurance</t>
  </si>
  <si>
    <t>Health Insurance</t>
  </si>
  <si>
    <t>Prescription Drugs</t>
  </si>
  <si>
    <t>Medical/Dental Expenses</t>
  </si>
  <si>
    <t>Alimony/Child Support</t>
  </si>
  <si>
    <t>Child Care</t>
  </si>
  <si>
    <t>School Tuition</t>
  </si>
  <si>
    <t>Automobile Insurance</t>
  </si>
  <si>
    <t>Automobile Gasoline</t>
  </si>
  <si>
    <t>Automobile Parking</t>
  </si>
  <si>
    <t>Religious/Charitable Contribution</t>
  </si>
  <si>
    <t>Miscellaneous</t>
  </si>
  <si>
    <t>Other Expense:</t>
  </si>
  <si>
    <t>Total Expenses</t>
  </si>
  <si>
    <t>Other loans</t>
  </si>
  <si>
    <t>Gross Monthly Income</t>
  </si>
  <si>
    <t>Total Monthly Deductions</t>
  </si>
  <si>
    <t>MONTHLY EXPENSES</t>
  </si>
  <si>
    <t>MONTHLY INCOME</t>
  </si>
  <si>
    <t>Net Income</t>
  </si>
  <si>
    <t>Monthly MIP</t>
  </si>
  <si>
    <t>Average Principal</t>
  </si>
  <si>
    <t>Principal</t>
  </si>
  <si>
    <t>Month #</t>
  </si>
  <si>
    <t>Year of Mortgage:</t>
  </si>
  <si>
    <t>Principal &amp; Interest</t>
  </si>
  <si>
    <t>Surplus income</t>
  </si>
  <si>
    <t>15% of net income</t>
  </si>
  <si>
    <t>Result</t>
  </si>
  <si>
    <t>Is surplus income greater than $300 and 15% of net income?</t>
  </si>
  <si>
    <t>Previous Partial Claims</t>
  </si>
  <si>
    <t>Step Four</t>
  </si>
  <si>
    <t>Step Five</t>
  </si>
  <si>
    <t>Step Six</t>
  </si>
  <si>
    <t>Yes</t>
  </si>
  <si>
    <t>Get mod w/ PC</t>
  </si>
  <si>
    <t>Get SAPC</t>
  </si>
  <si>
    <t>Get mod w/ increased pmt</t>
  </si>
  <si>
    <t>Get 6 mo forbearance</t>
  </si>
  <si>
    <t>Partial Claim</t>
  </si>
  <si>
    <t>Interest Rate</t>
  </si>
  <si>
    <t>Remaining Term</t>
  </si>
  <si>
    <t>No Mod</t>
  </si>
  <si>
    <t>Borrower Monthly Surplus Income Calculation</t>
  </si>
  <si>
    <t>Union Dues</t>
  </si>
  <si>
    <t>Pension/Retirement</t>
  </si>
  <si>
    <t>Other Deductions:</t>
  </si>
  <si>
    <t>State Income Tax</t>
  </si>
  <si>
    <t>Federal Income Tax</t>
  </si>
  <si>
    <t>Other Taxes</t>
  </si>
  <si>
    <t>FICA (SS / Medicare)</t>
  </si>
  <si>
    <t>FHA WORKOUT TERMS</t>
  </si>
  <si>
    <t>Monthly Subtotal</t>
  </si>
  <si>
    <t>Timing of Employment Income</t>
  </si>
  <si>
    <t>Monthly Employment Income</t>
  </si>
  <si>
    <t>Deductions from Paycheck</t>
  </si>
  <si>
    <t>Co-Borrower Gross Monthly Income</t>
  </si>
  <si>
    <t>YTD</t>
  </si>
  <si>
    <t>Monthly Total</t>
  </si>
  <si>
    <t>Subtotal</t>
  </si>
  <si>
    <t>TOTAL GROSS MONTHLY INCOME</t>
  </si>
  <si>
    <t>Untaxed Income</t>
  </si>
  <si>
    <t>Loan Type</t>
  </si>
  <si>
    <t>Market Rate (rounded to nearest 1/8)</t>
  </si>
  <si>
    <t>Monthly Living Expenses</t>
  </si>
  <si>
    <t>Term (in months)</t>
  </si>
  <si>
    <t>Maximum Risk Adjustment</t>
  </si>
  <si>
    <t>Amount of Any Previous Partial Claims</t>
  </si>
  <si>
    <t>INITIAL ASSISTANCE SCREENS</t>
  </si>
  <si>
    <t>Get traditional mod</t>
  </si>
  <si>
    <t>Interest Bearing Principal</t>
  </si>
  <si>
    <t>For questions or comments about this worksheet, please contact Joseph Rebella</t>
  </si>
  <si>
    <t>MFY Legal Services, Inc.'s Proprietary FHA Waterfall Worksheet</t>
  </si>
  <si>
    <t>Current with FAQ for ML 2013-32</t>
  </si>
  <si>
    <t>Known MIP?</t>
  </si>
  <si>
    <t>No</t>
  </si>
  <si>
    <t>Current Interest Rate</t>
  </si>
  <si>
    <t>MIP RATE</t>
  </si>
  <si>
    <t>Monthly Property Taxes</t>
  </si>
  <si>
    <t>Monthly Homeowner's Insurance</t>
  </si>
  <si>
    <t>Monthly Association Fees</t>
  </si>
  <si>
    <t>UPB Information:</t>
  </si>
  <si>
    <t>Determine Data Type</t>
  </si>
  <si>
    <t>Arrears and Unpaid Principal Balance</t>
  </si>
  <si>
    <t>Get SAHM</t>
  </si>
  <si>
    <t>Do SAHM Analysis?</t>
  </si>
  <si>
    <t>Do MWPC Analysis?</t>
  </si>
  <si>
    <t>Do MWIP Analysis?</t>
  </si>
  <si>
    <t>Monthly P&amp;I</t>
  </si>
  <si>
    <t>OUTCOME MATRIX</t>
  </si>
  <si>
    <t>Forbearance</t>
  </si>
  <si>
    <t>Traditional Mod</t>
  </si>
  <si>
    <t>Stand Alone PC</t>
  </si>
  <si>
    <t>Stand Alone Mod</t>
  </si>
  <si>
    <t>Mod with PC</t>
  </si>
  <si>
    <t>Mod with Increased Payment</t>
  </si>
  <si>
    <t>Message</t>
  </si>
  <si>
    <t>Six Month Forbearance</t>
  </si>
  <si>
    <t>Stand Alone Partial Claim</t>
  </si>
  <si>
    <t>Stand Alone FHA-HAMP Modification</t>
  </si>
  <si>
    <t>FHA-HAMP Modification with Partial Claim</t>
  </si>
  <si>
    <t>Not Eligible: DTI Exceeds 40%</t>
  </si>
  <si>
    <t>P&amp;I</t>
  </si>
  <si>
    <t>Int Bear Princ.</t>
  </si>
  <si>
    <t>Rate</t>
  </si>
  <si>
    <t>Term</t>
  </si>
  <si>
    <t>FHA Traditional Loan Modification</t>
  </si>
  <si>
    <t>Only Default Date</t>
  </si>
  <si>
    <t>Upfront MIP Rate</t>
  </si>
  <si>
    <t>Annual MIP Rate</t>
  </si>
  <si>
    <t>Purchase LTV</t>
  </si>
  <si>
    <t>Current LTV</t>
  </si>
  <si>
    <t>Upfront MIP</t>
  </si>
  <si>
    <t>Present</t>
  </si>
  <si>
    <t>Fixed Rate</t>
  </si>
  <si>
    <t>Annual MIP</t>
  </si>
  <si>
    <t>Upfront MIP Financed</t>
  </si>
  <si>
    <t>In effect?</t>
  </si>
  <si>
    <t>Default Date</t>
  </si>
</sst>
</file>

<file path=xl/styles.xml><?xml version="1.0" encoding="utf-8"?>
<styleSheet xmlns="http://schemas.openxmlformats.org/spreadsheetml/2006/main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  <numFmt numFmtId="167" formatCode="_(&quot;$&quot;* #,##0.000_);_(&quot;$&quot;* \(#,##0.000\);_(&quot;$&quot;* &quot;-&quot;???_);_(@_)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i/>
      <sz val="10"/>
      <name val="Arial"/>
      <family val="2"/>
    </font>
    <font>
      <u/>
      <sz val="10"/>
      <color indexed="12"/>
      <name val="Verdana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u/>
      <sz val="12"/>
      <name val="Times New Roman"/>
      <family val="1"/>
    </font>
    <font>
      <i/>
      <sz val="8"/>
      <name val="Arial"/>
      <family val="2"/>
    </font>
    <font>
      <sz val="10"/>
      <name val="Arial"/>
      <family val="2"/>
    </font>
    <font>
      <b/>
      <sz val="12"/>
      <name val="Ariel"/>
    </font>
    <font>
      <b/>
      <sz val="14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u/>
      <sz val="10"/>
      <color theme="11"/>
      <name val="Arial"/>
      <family val="2"/>
    </font>
    <font>
      <i/>
      <sz val="9"/>
      <name val="Times New Roman"/>
      <family val="1"/>
    </font>
    <font>
      <u/>
      <sz val="10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</cellStyleXfs>
  <cellXfs count="22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/>
    <xf numFmtId="164" fontId="5" fillId="0" borderId="0" xfId="1" applyNumberFormat="1" applyFont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2" borderId="0" xfId="0" applyFill="1" applyBorder="1"/>
    <xf numFmtId="0" fontId="12" fillId="0" borderId="0" xfId="0" applyFont="1" applyBorder="1"/>
    <xf numFmtId="0" fontId="0" fillId="0" borderId="2" xfId="0" applyBorder="1"/>
    <xf numFmtId="0" fontId="0" fillId="0" borderId="3" xfId="0" applyBorder="1"/>
    <xf numFmtId="43" fontId="1" fillId="0" borderId="0" xfId="1" applyBorder="1"/>
    <xf numFmtId="0" fontId="8" fillId="0" borderId="0" xfId="0" applyFont="1" applyBorder="1"/>
    <xf numFmtId="0" fontId="0" fillId="0" borderId="0" xfId="0" quotePrefix="1" applyBorder="1"/>
    <xf numFmtId="0" fontId="0" fillId="0" borderId="2" xfId="0" applyFill="1" applyBorder="1"/>
    <xf numFmtId="0" fontId="3" fillId="0" borderId="0" xfId="0" applyFont="1" applyFill="1" applyBorder="1"/>
    <xf numFmtId="0" fontId="6" fillId="2" borderId="0" xfId="0" applyFont="1" applyFill="1" applyBorder="1"/>
    <xf numFmtId="0" fontId="4" fillId="0" borderId="0" xfId="0" applyFont="1" applyBorder="1"/>
    <xf numFmtId="0" fontId="0" fillId="0" borderId="5" xfId="0" applyBorder="1"/>
    <xf numFmtId="0" fontId="0" fillId="2" borderId="5" xfId="0" applyFill="1" applyBorder="1"/>
    <xf numFmtId="0" fontId="7" fillId="0" borderId="0" xfId="0" applyFont="1" applyBorder="1"/>
    <xf numFmtId="0" fontId="10" fillId="0" borderId="0" xfId="0" applyFont="1" applyBorder="1"/>
    <xf numFmtId="0" fontId="8" fillId="0" borderId="0" xfId="0" applyFont="1" applyFill="1" applyBorder="1"/>
    <xf numFmtId="7" fontId="0" fillId="0" borderId="0" xfId="0" applyNumberFormat="1" applyFill="1"/>
    <xf numFmtId="14" fontId="1" fillId="4" borderId="6" xfId="1" applyNumberFormat="1" applyFill="1" applyBorder="1" applyProtection="1">
      <protection locked="0"/>
    </xf>
    <xf numFmtId="0" fontId="14" fillId="0" borderId="0" xfId="0" applyFont="1" applyBorder="1"/>
    <xf numFmtId="0" fontId="0" fillId="0" borderId="0" xfId="0" applyFont="1" applyFill="1" applyBorder="1"/>
    <xf numFmtId="43" fontId="1" fillId="0" borderId="0" xfId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44" fontId="1" fillId="7" borderId="6" xfId="2" applyFill="1" applyBorder="1" applyAlignment="1" applyProtection="1">
      <protection locked="0"/>
    </xf>
    <xf numFmtId="165" fontId="1" fillId="7" borderId="6" xfId="1" applyNumberFormat="1" applyFill="1" applyBorder="1" applyAlignment="1" applyProtection="1">
      <alignment horizontal="right"/>
      <protection locked="0"/>
    </xf>
    <xf numFmtId="44" fontId="1" fillId="4" borderId="6" xfId="2" applyFill="1" applyBorder="1" applyAlignment="1" applyProtection="1">
      <alignment horizontal="left"/>
      <protection locked="0"/>
    </xf>
    <xf numFmtId="44" fontId="1" fillId="4" borderId="7" xfId="2" applyFill="1" applyBorder="1" applyAlignment="1" applyProtection="1">
      <alignment horizontal="left"/>
      <protection locked="0"/>
    </xf>
    <xf numFmtId="44" fontId="3" fillId="0" borderId="8" xfId="2" applyFont="1" applyFill="1" applyBorder="1" applyAlignment="1" applyProtection="1">
      <alignment horizontal="left"/>
      <protection locked="0"/>
    </xf>
    <xf numFmtId="44" fontId="1" fillId="3" borderId="6" xfId="2" applyFill="1" applyBorder="1" applyAlignment="1">
      <alignment horizontal="left"/>
    </xf>
    <xf numFmtId="44" fontId="1" fillId="0" borderId="0" xfId="2" applyFill="1" applyBorder="1" applyAlignment="1">
      <alignment horizontal="left"/>
    </xf>
    <xf numFmtId="0" fontId="1" fillId="2" borderId="0" xfId="0" applyFont="1" applyFill="1" applyBorder="1"/>
    <xf numFmtId="44" fontId="0" fillId="0" borderId="0" xfId="2" applyFont="1" applyBorder="1" applyAlignment="1">
      <alignment horizontal="left"/>
    </xf>
    <xf numFmtId="44" fontId="3" fillId="9" borderId="6" xfId="2" applyFont="1" applyFill="1" applyBorder="1" applyAlignment="1" applyProtection="1">
      <alignment horizontal="left"/>
      <protection locked="0"/>
    </xf>
    <xf numFmtId="44" fontId="1" fillId="10" borderId="6" xfId="2" applyFont="1" applyFill="1" applyBorder="1"/>
    <xf numFmtId="44" fontId="1" fillId="10" borderId="6" xfId="1" applyNumberFormat="1" applyFont="1" applyFill="1" applyBorder="1"/>
    <xf numFmtId="0" fontId="0" fillId="0" borderId="0" xfId="0" applyFont="1" applyBorder="1"/>
    <xf numFmtId="44" fontId="1" fillId="10" borderId="6" xfId="0" applyNumberFormat="1" applyFont="1" applyFill="1" applyBorder="1" applyAlignment="1">
      <alignment horizontal="center"/>
    </xf>
    <xf numFmtId="166" fontId="1" fillId="10" borderId="6" xfId="1" applyNumberFormat="1" applyFont="1" applyFill="1" applyBorder="1"/>
    <xf numFmtId="10" fontId="0" fillId="3" borderId="6" xfId="0" applyNumberFormat="1" applyFont="1" applyFill="1" applyBorder="1" applyAlignment="1">
      <alignment horizontal="right"/>
    </xf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44" fontId="1" fillId="9" borderId="6" xfId="1" applyNumberFormat="1" applyFill="1" applyBorder="1"/>
    <xf numFmtId="44" fontId="1" fillId="9" borderId="6" xfId="2" applyFont="1" applyFill="1" applyBorder="1"/>
    <xf numFmtId="0" fontId="19" fillId="0" borderId="0" xfId="0" applyFont="1" applyFill="1" applyBorder="1"/>
    <xf numFmtId="0" fontId="19" fillId="0" borderId="0" xfId="0" applyFont="1" applyBorder="1"/>
    <xf numFmtId="10" fontId="3" fillId="9" borderId="12" xfId="2" applyNumberFormat="1" applyFont="1" applyFill="1" applyBorder="1" applyAlignment="1">
      <alignment horizontal="center"/>
    </xf>
    <xf numFmtId="43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0" fontId="11" fillId="0" borderId="0" xfId="0" applyFont="1" applyBorder="1"/>
    <xf numFmtId="0" fontId="0" fillId="0" borderId="8" xfId="0" applyBorder="1"/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44" fontId="1" fillId="10" borderId="6" xfId="2" applyFill="1" applyBorder="1" applyAlignment="1" applyProtection="1">
      <alignment horizontal="left"/>
      <protection locked="0"/>
    </xf>
    <xf numFmtId="44" fontId="22" fillId="0" borderId="0" xfId="0" applyNumberFormat="1" applyFont="1" applyBorder="1"/>
    <xf numFmtId="44" fontId="0" fillId="0" borderId="0" xfId="2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44" fontId="3" fillId="12" borderId="6" xfId="2" applyFont="1" applyFill="1" applyBorder="1" applyAlignment="1">
      <alignment horizontal="left"/>
    </xf>
    <xf numFmtId="167" fontId="1" fillId="10" borderId="6" xfId="1" applyNumberFormat="1" applyFont="1" applyFill="1" applyBorder="1"/>
    <xf numFmtId="166" fontId="1" fillId="7" borderId="6" xfId="4" applyNumberFormat="1" applyFill="1" applyBorder="1" applyAlignment="1" applyProtection="1">
      <alignment horizontal="right"/>
      <protection locked="0"/>
    </xf>
    <xf numFmtId="44" fontId="0" fillId="0" borderId="0" xfId="2" applyFont="1"/>
    <xf numFmtId="44" fontId="0" fillId="0" borderId="0" xfId="0" applyNumberFormat="1"/>
    <xf numFmtId="0" fontId="0" fillId="0" borderId="0" xfId="0" applyAlignment="1">
      <alignment horizontal="right"/>
    </xf>
    <xf numFmtId="0" fontId="21" fillId="11" borderId="10" xfId="0" applyFont="1" applyFill="1" applyBorder="1" applyAlignment="1">
      <alignment horizontal="center" vertical="center"/>
    </xf>
    <xf numFmtId="44" fontId="1" fillId="9" borderId="7" xfId="1" applyNumberFormat="1" applyFont="1" applyFill="1" applyBorder="1"/>
    <xf numFmtId="0" fontId="11" fillId="0" borderId="0" xfId="0" applyFont="1" applyFill="1" applyBorder="1"/>
    <xf numFmtId="0" fontId="1" fillId="0" borderId="0" xfId="0" applyFont="1"/>
    <xf numFmtId="0" fontId="0" fillId="9" borderId="6" xfId="0" applyFill="1" applyBorder="1" applyAlignment="1">
      <alignment horizontal="center"/>
    </xf>
    <xf numFmtId="44" fontId="1" fillId="9" borderId="6" xfId="2" applyFill="1" applyBorder="1"/>
    <xf numFmtId="0" fontId="3" fillId="8" borderId="0" xfId="0" applyFont="1" applyFill="1" applyBorder="1" applyAlignment="1">
      <alignment horizontal="center"/>
    </xf>
    <xf numFmtId="43" fontId="1" fillId="8" borderId="0" xfId="1" applyFill="1" applyBorder="1" applyAlignment="1">
      <alignment horizontal="center"/>
    </xf>
    <xf numFmtId="43" fontId="3" fillId="9" borderId="12" xfId="1" applyFont="1" applyFill="1" applyBorder="1" applyAlignment="1">
      <alignment horizontal="center"/>
    </xf>
    <xf numFmtId="44" fontId="0" fillId="9" borderId="7" xfId="0" applyNumberForma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44" fontId="1" fillId="8" borderId="8" xfId="1" applyNumberFormat="1" applyFont="1" applyFill="1" applyBorder="1"/>
    <xf numFmtId="44" fontId="3" fillId="9" borderId="12" xfId="1" applyNumberFormat="1" applyFont="1" applyFill="1" applyBorder="1"/>
    <xf numFmtId="44" fontId="1" fillId="10" borderId="7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4" fontId="0" fillId="3" borderId="6" xfId="2" applyFont="1" applyFill="1" applyBorder="1" applyAlignment="1">
      <alignment horizontal="left"/>
    </xf>
    <xf numFmtId="44" fontId="1" fillId="9" borderId="6" xfId="0" applyNumberFormat="1" applyFont="1" applyFill="1" applyBorder="1" applyAlignment="1">
      <alignment horizontal="left"/>
    </xf>
    <xf numFmtId="44" fontId="0" fillId="6" borderId="6" xfId="0" applyNumberFormat="1" applyFont="1" applyFill="1" applyBorder="1" applyAlignment="1">
      <alignment horizontal="left"/>
    </xf>
    <xf numFmtId="44" fontId="19" fillId="12" borderId="6" xfId="2" applyFont="1" applyFill="1" applyBorder="1" applyAlignment="1">
      <alignment horizontal="left"/>
    </xf>
    <xf numFmtId="166" fontId="19" fillId="12" borderId="6" xfId="4" applyNumberFormat="1" applyFont="1" applyFill="1" applyBorder="1"/>
    <xf numFmtId="165" fontId="19" fillId="12" borderId="6" xfId="1" applyNumberFormat="1" applyFont="1" applyFill="1" applyBorder="1"/>
    <xf numFmtId="0" fontId="0" fillId="8" borderId="0" xfId="0" applyFill="1"/>
    <xf numFmtId="44" fontId="0" fillId="0" borderId="0" xfId="0" applyNumberFormat="1" applyBorder="1"/>
    <xf numFmtId="0" fontId="0" fillId="8" borderId="3" xfId="0" applyFill="1" applyBorder="1"/>
    <xf numFmtId="0" fontId="0" fillId="8" borderId="0" xfId="0" applyFill="1" applyBorder="1"/>
    <xf numFmtId="0" fontId="0" fillId="8" borderId="2" xfId="0" applyFill="1" applyBorder="1"/>
    <xf numFmtId="0" fontId="3" fillId="8" borderId="0" xfId="0" applyFont="1" applyFill="1" applyBorder="1"/>
    <xf numFmtId="0" fontId="19" fillId="8" borderId="0" xfId="0" applyFont="1" applyFill="1" applyBorder="1"/>
    <xf numFmtId="0" fontId="1" fillId="8" borderId="0" xfId="0" applyFont="1" applyFill="1" applyBorder="1"/>
    <xf numFmtId="0" fontId="0" fillId="8" borderId="5" xfId="0" applyFill="1" applyBorder="1"/>
    <xf numFmtId="0" fontId="21" fillId="8" borderId="3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37" fontId="1" fillId="9" borderId="7" xfId="0" applyNumberFormat="1" applyFont="1" applyFill="1" applyBorder="1" applyAlignment="1">
      <alignment horizontal="right"/>
    </xf>
    <xf numFmtId="37" fontId="3" fillId="3" borderId="12" xfId="0" applyNumberFormat="1" applyFont="1" applyFill="1" applyBorder="1" applyAlignment="1">
      <alignment horizontal="center"/>
    </xf>
    <xf numFmtId="44" fontId="0" fillId="3" borderId="7" xfId="0" applyNumberFormat="1" applyFont="1" applyFill="1" applyBorder="1" applyAlignment="1">
      <alignment horizontal="left"/>
    </xf>
    <xf numFmtId="44" fontId="0" fillId="10" borderId="7" xfId="0" applyNumberFormat="1" applyFill="1" applyBorder="1"/>
    <xf numFmtId="44" fontId="1" fillId="9" borderId="12" xfId="1" applyNumberFormat="1" applyFill="1" applyBorder="1"/>
    <xf numFmtId="44" fontId="1" fillId="3" borderId="7" xfId="2" applyFill="1" applyBorder="1" applyAlignment="1">
      <alignment horizontal="left"/>
    </xf>
    <xf numFmtId="44" fontId="1" fillId="10" borderId="14" xfId="2" applyFont="1" applyFill="1" applyBorder="1"/>
    <xf numFmtId="44" fontId="1" fillId="8" borderId="10" xfId="2" applyFill="1" applyBorder="1" applyAlignment="1">
      <alignment horizontal="left"/>
    </xf>
    <xf numFmtId="0" fontId="23" fillId="0" borderId="0" xfId="0" applyFont="1" applyBorder="1"/>
    <xf numFmtId="44" fontId="1" fillId="12" borderId="12" xfId="2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5" fillId="0" borderId="0" xfId="0" applyFont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Border="1" applyAlignment="1">
      <alignment horizontal="right"/>
    </xf>
    <xf numFmtId="0" fontId="24" fillId="0" borderId="0" xfId="0" applyFont="1" applyBorder="1"/>
    <xf numFmtId="44" fontId="1" fillId="8" borderId="0" xfId="2" applyFill="1" applyBorder="1" applyAlignment="1">
      <alignment horizontal="left"/>
    </xf>
    <xf numFmtId="44" fontId="1" fillId="3" borderId="6" xfId="2" applyFont="1" applyFill="1" applyBorder="1" applyAlignment="1">
      <alignment horizontal="left"/>
    </xf>
    <xf numFmtId="0" fontId="0" fillId="0" borderId="4" xfId="0" applyBorder="1"/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5" xfId="0" applyFont="1" applyFill="1" applyBorder="1"/>
    <xf numFmtId="0" fontId="4" fillId="0" borderId="5" xfId="0" applyFont="1" applyBorder="1"/>
    <xf numFmtId="0" fontId="3" fillId="0" borderId="0" xfId="0" applyFont="1" applyBorder="1" applyAlignment="1">
      <alignment vertical="center"/>
    </xf>
    <xf numFmtId="8" fontId="0" fillId="0" borderId="0" xfId="0" applyNumberFormat="1" applyBorder="1"/>
    <xf numFmtId="0" fontId="0" fillId="14" borderId="0" xfId="0" applyFill="1"/>
    <xf numFmtId="44" fontId="1" fillId="9" borderId="6" xfId="2" applyFill="1" applyBorder="1" applyAlignment="1" applyProtection="1">
      <alignment horizontal="left"/>
    </xf>
    <xf numFmtId="0" fontId="3" fillId="0" borderId="5" xfId="0" applyFont="1" applyBorder="1"/>
    <xf numFmtId="0" fontId="24" fillId="7" borderId="6" xfId="0" applyFont="1" applyFill="1" applyBorder="1" applyAlignment="1" applyProtection="1">
      <alignment horizontal="right" vertical="center"/>
      <protection locked="0"/>
    </xf>
    <xf numFmtId="0" fontId="22" fillId="8" borderId="2" xfId="0" applyFont="1" applyFill="1" applyBorder="1"/>
    <xf numFmtId="44" fontId="24" fillId="7" borderId="6" xfId="2" applyNumberFormat="1" applyFont="1" applyFill="1" applyBorder="1" applyAlignment="1" applyProtection="1">
      <alignment horizontal="left" vertical="center"/>
      <protection locked="0"/>
    </xf>
    <xf numFmtId="44" fontId="0" fillId="7" borderId="6" xfId="2" applyFont="1" applyFill="1" applyBorder="1" applyAlignment="1" applyProtection="1">
      <alignment horizontal="right"/>
      <protection locked="0"/>
    </xf>
    <xf numFmtId="14" fontId="0" fillId="7" borderId="6" xfId="2" applyNumberFormat="1" applyFont="1" applyFill="1" applyBorder="1" applyAlignment="1" applyProtection="1">
      <alignment horizontal="right"/>
      <protection locked="0"/>
    </xf>
    <xf numFmtId="44" fontId="1" fillId="3" borderId="6" xfId="2" applyFont="1" applyFill="1" applyBorder="1" applyAlignment="1" applyProtection="1">
      <alignment horizontal="left"/>
    </xf>
    <xf numFmtId="44" fontId="1" fillId="7" borderId="6" xfId="1" applyNumberFormat="1" applyFill="1" applyBorder="1" applyProtection="1">
      <protection locked="0"/>
    </xf>
    <xf numFmtId="44" fontId="0" fillId="4" borderId="6" xfId="2" applyFont="1" applyFill="1" applyBorder="1" applyAlignment="1" applyProtection="1">
      <alignment horizontal="left"/>
      <protection locked="0"/>
    </xf>
    <xf numFmtId="14" fontId="0" fillId="0" borderId="0" xfId="0" applyNumberFormat="1" applyFill="1"/>
    <xf numFmtId="0" fontId="0" fillId="0" borderId="15" xfId="0" applyBorder="1"/>
    <xf numFmtId="0" fontId="0" fillId="0" borderId="1" xfId="0" applyFill="1" applyBorder="1"/>
    <xf numFmtId="0" fontId="17" fillId="0" borderId="8" xfId="0" applyFont="1" applyBorder="1" applyAlignment="1">
      <alignment horizontal="center"/>
    </xf>
    <xf numFmtId="0" fontId="8" fillId="0" borderId="2" xfId="0" applyFont="1" applyBorder="1"/>
    <xf numFmtId="8" fontId="0" fillId="0" borderId="0" xfId="0" applyNumberFormat="1" applyFill="1"/>
    <xf numFmtId="44" fontId="1" fillId="9" borderId="6" xfId="2" applyNumberFormat="1" applyFont="1" applyFill="1" applyBorder="1"/>
    <xf numFmtId="8" fontId="0" fillId="0" borderId="0" xfId="0" applyNumberFormat="1"/>
    <xf numFmtId="10" fontId="1" fillId="9" borderId="6" xfId="4" applyNumberFormat="1" applyFont="1" applyFill="1" applyBorder="1"/>
    <xf numFmtId="44" fontId="0" fillId="0" borderId="0" xfId="0" applyNumberFormat="1" applyFill="1"/>
    <xf numFmtId="0" fontId="11" fillId="0" borderId="0" xfId="0" applyFont="1" applyBorder="1" applyAlignment="1">
      <alignment horizontal="left"/>
    </xf>
    <xf numFmtId="10" fontId="1" fillId="4" borderId="6" xfId="4" applyNumberFormat="1" applyFont="1" applyFill="1" applyBorder="1" applyProtection="1">
      <protection locked="0"/>
    </xf>
    <xf numFmtId="10" fontId="1" fillId="10" borderId="6" xfId="4" applyNumberFormat="1" applyFont="1" applyFill="1" applyBorder="1" applyProtection="1">
      <protection locked="0"/>
    </xf>
    <xf numFmtId="166" fontId="3" fillId="3" borderId="6" xfId="0" applyNumberFormat="1" applyFont="1" applyFill="1" applyBorder="1"/>
    <xf numFmtId="0" fontId="5" fillId="0" borderId="10" xfId="0" applyFont="1" applyBorder="1" applyAlignment="1">
      <alignment horizontal="center"/>
    </xf>
    <xf numFmtId="0" fontId="21" fillId="11" borderId="10" xfId="0" applyFont="1" applyFill="1" applyBorder="1" applyAlignment="1">
      <alignment horizontal="center" vertical="center"/>
    </xf>
    <xf numFmtId="44" fontId="3" fillId="5" borderId="7" xfId="2" applyFont="1" applyFill="1" applyBorder="1" applyAlignment="1">
      <alignment horizontal="left"/>
    </xf>
    <xf numFmtId="44" fontId="3" fillId="8" borderId="8" xfId="2" applyFont="1" applyFill="1" applyBorder="1" applyAlignment="1">
      <alignment horizontal="left"/>
    </xf>
    <xf numFmtId="44" fontId="3" fillId="8" borderId="0" xfId="1" applyNumberFormat="1" applyFont="1" applyFill="1" applyBorder="1"/>
    <xf numFmtId="0" fontId="27" fillId="0" borderId="0" xfId="0" applyFont="1" applyBorder="1"/>
    <xf numFmtId="0" fontId="8" fillId="0" borderId="0" xfId="0" applyFont="1" applyFill="1" applyBorder="1" applyAlignment="1">
      <alignment horizontal="right"/>
    </xf>
    <xf numFmtId="0" fontId="2" fillId="0" borderId="5" xfId="0" applyFont="1" applyBorder="1"/>
    <xf numFmtId="0" fontId="18" fillId="0" borderId="13" xfId="0" applyFont="1" applyFill="1" applyBorder="1" applyAlignment="1">
      <alignment horizontal="right"/>
    </xf>
    <xf numFmtId="0" fontId="18" fillId="0" borderId="4" xfId="0" applyFont="1" applyBorder="1"/>
    <xf numFmtId="44" fontId="1" fillId="4" borderId="7" xfId="2" applyFill="1" applyBorder="1" applyAlignment="1" applyProtection="1">
      <alignment horizontal="right"/>
      <protection locked="0"/>
    </xf>
    <xf numFmtId="166" fontId="22" fillId="8" borderId="0" xfId="4" applyNumberFormat="1" applyFont="1" applyFill="1" applyBorder="1" applyProtection="1">
      <protection locked="0"/>
    </xf>
    <xf numFmtId="44" fontId="1" fillId="7" borderId="14" xfId="2" applyFill="1" applyBorder="1" applyAlignment="1" applyProtection="1">
      <alignment horizontal="left"/>
      <protection locked="0"/>
    </xf>
    <xf numFmtId="44" fontId="22" fillId="8" borderId="5" xfId="2" applyFont="1" applyFill="1" applyBorder="1" applyProtection="1">
      <protection locked="0"/>
    </xf>
    <xf numFmtId="9" fontId="0" fillId="0" borderId="0" xfId="4" applyFont="1"/>
    <xf numFmtId="0" fontId="1" fillId="0" borderId="0" xfId="9" applyFill="1" applyBorder="1"/>
    <xf numFmtId="0" fontId="1" fillId="0" borderId="3" xfId="9" applyBorder="1"/>
    <xf numFmtId="0" fontId="3" fillId="0" borderId="0" xfId="9" applyFont="1" applyFill="1" applyBorder="1"/>
    <xf numFmtId="0" fontId="22" fillId="8" borderId="2" xfId="9" applyFont="1" applyFill="1" applyBorder="1"/>
    <xf numFmtId="0" fontId="1" fillId="0" borderId="0" xfId="10"/>
    <xf numFmtId="0" fontId="1" fillId="0" borderId="0" xfId="10" applyFill="1" applyBorder="1"/>
    <xf numFmtId="0" fontId="3" fillId="0" borderId="0" xfId="10" applyFont="1" applyFill="1" applyBorder="1"/>
    <xf numFmtId="14" fontId="1" fillId="4" borderId="6" xfId="1" applyNumberFormat="1" applyFill="1" applyBorder="1" applyProtection="1">
      <protection locked="0"/>
    </xf>
    <xf numFmtId="1" fontId="1" fillId="3" borderId="6" xfId="1" applyNumberFormat="1" applyFill="1" applyBorder="1"/>
    <xf numFmtId="0" fontId="1" fillId="0" borderId="0" xfId="10" applyFont="1"/>
    <xf numFmtId="44" fontId="1" fillId="4" borderId="6" xfId="2" applyFill="1" applyBorder="1" applyAlignment="1" applyProtection="1">
      <protection locked="0"/>
    </xf>
    <xf numFmtId="0" fontId="1" fillId="0" borderId="0" xfId="10" applyFont="1" applyFill="1" applyBorder="1"/>
    <xf numFmtId="44" fontId="1" fillId="3" borderId="6" xfId="2" applyFill="1" applyBorder="1" applyAlignment="1"/>
    <xf numFmtId="0" fontId="1" fillId="7" borderId="6" xfId="10" applyFill="1" applyBorder="1" applyAlignment="1" applyProtection="1">
      <alignment horizontal="right"/>
      <protection locked="0"/>
    </xf>
    <xf numFmtId="9" fontId="1" fillId="0" borderId="0" xfId="10" applyNumberFormat="1"/>
    <xf numFmtId="14" fontId="1" fillId="3" borderId="14" xfId="1" applyNumberFormat="1" applyFill="1" applyBorder="1"/>
    <xf numFmtId="0" fontId="1" fillId="0" borderId="0" xfId="10" applyBorder="1"/>
    <xf numFmtId="0" fontId="1" fillId="0" borderId="0" xfId="10" applyFont="1" applyAlignment="1"/>
    <xf numFmtId="44" fontId="0" fillId="7" borderId="6" xfId="2" applyFont="1" applyFill="1" applyBorder="1" applyAlignment="1" applyProtection="1">
      <alignment horizontal="left"/>
      <protection locked="0"/>
    </xf>
    <xf numFmtId="44" fontId="0" fillId="12" borderId="12" xfId="2" applyFont="1" applyFill="1" applyBorder="1" applyAlignment="1" applyProtection="1">
      <alignment horizontal="right"/>
    </xf>
    <xf numFmtId="8" fontId="0" fillId="0" borderId="0" xfId="2" applyNumberFormat="1" applyFont="1"/>
    <xf numFmtId="44" fontId="22" fillId="8" borderId="0" xfId="2" applyFont="1" applyFill="1" applyBorder="1" applyAlignment="1" applyProtection="1">
      <protection locked="0"/>
    </xf>
    <xf numFmtId="10" fontId="0" fillId="0" borderId="0" xfId="4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0" xfId="0" applyNumberFormat="1" applyAlignment="1">
      <alignment horizontal="right"/>
    </xf>
    <xf numFmtId="9" fontId="0" fillId="0" borderId="0" xfId="0" applyNumberFormat="1"/>
    <xf numFmtId="10" fontId="0" fillId="0" borderId="0" xfId="0" applyNumberFormat="1"/>
    <xf numFmtId="165" fontId="0" fillId="0" borderId="0" xfId="1" applyNumberFormat="1" applyFont="1"/>
    <xf numFmtId="44" fontId="1" fillId="7" borderId="6" xfId="2" applyFont="1" applyFill="1" applyBorder="1" applyProtection="1">
      <protection locked="0"/>
    </xf>
    <xf numFmtId="0" fontId="5" fillId="13" borderId="9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20" fillId="13" borderId="9" xfId="0" applyFont="1" applyFill="1" applyBorder="1" applyAlignment="1">
      <alignment horizontal="center"/>
    </xf>
    <xf numFmtId="0" fontId="20" fillId="13" borderId="10" xfId="0" applyFont="1" applyFill="1" applyBorder="1" applyAlignment="1">
      <alignment horizontal="center"/>
    </xf>
    <xf numFmtId="0" fontId="20" fillId="13" borderId="11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9" fillId="0" borderId="0" xfId="3" applyBorder="1" applyAlignment="1" applyProtection="1">
      <alignment horizontal="left"/>
    </xf>
    <xf numFmtId="0" fontId="28" fillId="0" borderId="0" xfId="3" applyFont="1" applyBorder="1" applyAlignment="1" applyProtection="1">
      <alignment horizontal="left"/>
    </xf>
    <xf numFmtId="0" fontId="28" fillId="0" borderId="2" xfId="3" applyFont="1" applyBorder="1" applyAlignment="1" applyProtection="1">
      <alignment horizontal="left"/>
    </xf>
    <xf numFmtId="0" fontId="11" fillId="0" borderId="0" xfId="10" applyFont="1" applyAlignment="1">
      <alignment horizontal="left"/>
    </xf>
    <xf numFmtId="0" fontId="21" fillId="11" borderId="9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28" fillId="8" borderId="0" xfId="3" applyFont="1" applyFill="1" applyAlignment="1" applyProtection="1">
      <alignment horizontal="right"/>
    </xf>
    <xf numFmtId="0" fontId="1" fillId="0" borderId="0" xfId="0" applyFont="1" applyAlignment="1">
      <alignment horizontal="center"/>
    </xf>
  </cellXfs>
  <cellStyles count="11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3" builtinId="8"/>
    <cellStyle name="Normal" xfId="0" builtinId="0"/>
    <cellStyle name="Normal 2" xfId="10"/>
    <cellStyle name="Normal 3" xfId="9"/>
    <cellStyle name="Percent" xfId="4" builtinId="5"/>
  </cellStyles>
  <dxfs count="3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/>
        <color theme="5"/>
      </font>
    </dxf>
    <dxf>
      <font>
        <b/>
        <i val="0"/>
        <u val="none"/>
        <color theme="5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ont>
        <b/>
        <i val="0"/>
        <color theme="5"/>
      </font>
    </dxf>
    <dxf>
      <font>
        <b val="0"/>
        <i/>
      </font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  <color rgb="FFFFFFCC"/>
      <color rgb="FFCCFFCC"/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ebella\My%20Documents\Downloads\Waterfall%20Worksheet%20-%20HAMP%20&amp;%20GSE%20Standard%20Modific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seph\Client%20Files\Open%20Cases\Carter,%20Rhoda\Carter%20Waterfa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yfs2\Documents%20and%20Settings\nwoods\Local%20Settings\Temporary%20Internet%20Files\OLK141\HAMP%20Waterfall%20Workshe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MP Tier 1"/>
      <sheetName val="Tier 2 - Standard"/>
      <sheetName val="Mod Terms"/>
      <sheetName val="Data Validation"/>
    </sheetNames>
    <sheetDataSet>
      <sheetData sheetId="0">
        <row r="11">
          <cell r="E11">
            <v>2147.2864920485526</v>
          </cell>
        </row>
        <row r="22">
          <cell r="E22">
            <v>335000</v>
          </cell>
        </row>
      </sheetData>
      <sheetData sheetId="1">
        <row r="28">
          <cell r="P28">
            <v>2035.1526122394237</v>
          </cell>
        </row>
      </sheetData>
      <sheetData sheetId="2" refreshError="1"/>
      <sheetData sheetId="3">
        <row r="2">
          <cell r="D2" t="str">
            <v>Bank of America</v>
          </cell>
          <cell r="I2">
            <v>1</v>
          </cell>
          <cell r="J2" t="str">
            <v>Current as of FNMA Servicing Announcement 2013-28</v>
          </cell>
        </row>
        <row r="3">
          <cell r="I3">
            <v>2</v>
          </cell>
          <cell r="J3" t="str">
            <v>Current as of FDMC Servicing Bulletin 2013-27</v>
          </cell>
        </row>
        <row r="4">
          <cell r="I4">
            <v>3</v>
          </cell>
          <cell r="J4" t="str">
            <v>Current as of MHA Handbook v. 4.3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HAMP Tier 1"/>
      <sheetName val="Tier 2 - Standard"/>
      <sheetName val="Mod Terms"/>
      <sheetName val="Data Validation"/>
    </sheetNames>
    <sheetDataSet>
      <sheetData sheetId="0"/>
      <sheetData sheetId="1">
        <row r="11">
          <cell r="E11">
            <v>2313.7617444510815</v>
          </cell>
        </row>
      </sheetData>
      <sheetData sheetId="2">
        <row r="28">
          <cell r="P28">
            <v>2761.677564258126</v>
          </cell>
        </row>
        <row r="30">
          <cell r="L30">
            <v>0.25</v>
          </cell>
          <cell r="N30">
            <v>0.42</v>
          </cell>
        </row>
        <row r="32">
          <cell r="P32">
            <v>0.65413299831547633</v>
          </cell>
        </row>
        <row r="39">
          <cell r="P39" t="str">
            <v>NO</v>
          </cell>
        </row>
      </sheetData>
      <sheetData sheetId="3"/>
      <sheetData sheetId="4">
        <row r="2">
          <cell r="D2" t="str">
            <v>Bank of America</v>
          </cell>
          <cell r="E2">
            <v>0.25</v>
          </cell>
          <cell r="F2">
            <v>0.42</v>
          </cell>
        </row>
        <row r="3">
          <cell r="D3" t="str">
            <v>Bank United</v>
          </cell>
          <cell r="E3">
            <v>0.1</v>
          </cell>
          <cell r="F3">
            <v>0.55000000000000004</v>
          </cell>
        </row>
        <row r="4">
          <cell r="B4">
            <v>0</v>
          </cell>
          <cell r="D4" t="str">
            <v>Bayview</v>
          </cell>
          <cell r="E4">
            <v>0.1</v>
          </cell>
          <cell r="F4">
            <v>0.55000000000000004</v>
          </cell>
        </row>
        <row r="5">
          <cell r="B5">
            <v>4.6249999999999999E-2</v>
          </cell>
          <cell r="D5" t="str">
            <v>Carrington</v>
          </cell>
          <cell r="E5">
            <v>0.25</v>
          </cell>
          <cell r="F5">
            <v>0.42</v>
          </cell>
        </row>
        <row r="6">
          <cell r="A6">
            <v>0</v>
          </cell>
          <cell r="D6" t="str">
            <v>Chase</v>
          </cell>
          <cell r="E6">
            <v>0.25</v>
          </cell>
          <cell r="F6">
            <v>0.42</v>
          </cell>
        </row>
        <row r="7">
          <cell r="D7" t="str">
            <v>Citi</v>
          </cell>
          <cell r="E7">
            <v>0.1</v>
          </cell>
          <cell r="F7">
            <v>0.42</v>
          </cell>
        </row>
        <row r="8">
          <cell r="D8" t="str">
            <v>GMAC</v>
          </cell>
          <cell r="E8">
            <v>0.1</v>
          </cell>
          <cell r="F8">
            <v>0.55000000000000004</v>
          </cell>
        </row>
        <row r="9">
          <cell r="D9" t="str">
            <v>Green Tree</v>
          </cell>
          <cell r="E9">
            <v>0.1</v>
          </cell>
          <cell r="F9">
            <v>0.55000000000000004</v>
          </cell>
        </row>
        <row r="10">
          <cell r="A10">
            <v>3</v>
          </cell>
          <cell r="D10" t="str">
            <v>Midland</v>
          </cell>
          <cell r="E10">
            <v>0.1</v>
          </cell>
          <cell r="F10">
            <v>0.55000000000000004</v>
          </cell>
        </row>
        <row r="11">
          <cell r="D11" t="str">
            <v>Nationstar</v>
          </cell>
          <cell r="E11">
            <v>0.1</v>
          </cell>
          <cell r="F11">
            <v>0.55000000000000004</v>
          </cell>
        </row>
        <row r="12">
          <cell r="A12">
            <v>0</v>
          </cell>
          <cell r="D12" t="str">
            <v>Ocwen</v>
          </cell>
          <cell r="E12">
            <v>0.15</v>
          </cell>
          <cell r="F12">
            <v>0.45</v>
          </cell>
        </row>
        <row r="13">
          <cell r="A13">
            <v>0</v>
          </cell>
          <cell r="D13" t="str">
            <v>OneWest</v>
          </cell>
          <cell r="E13">
            <v>0.1</v>
          </cell>
          <cell r="F13">
            <v>0.55000000000000004</v>
          </cell>
        </row>
        <row r="14">
          <cell r="A14">
            <v>0</v>
          </cell>
          <cell r="D14" t="str">
            <v>Penny Mac</v>
          </cell>
          <cell r="E14">
            <v>0.1</v>
          </cell>
          <cell r="F14">
            <v>0.42</v>
          </cell>
        </row>
        <row r="15">
          <cell r="D15" t="str">
            <v>PNC/National City</v>
          </cell>
          <cell r="E15">
            <v>0.1</v>
          </cell>
          <cell r="F15">
            <v>0.55000000000000004</v>
          </cell>
        </row>
        <row r="16">
          <cell r="D16" t="str">
            <v>SLS</v>
          </cell>
          <cell r="E16">
            <v>0.1</v>
          </cell>
          <cell r="F16">
            <v>0.55000000000000004</v>
          </cell>
        </row>
        <row r="17">
          <cell r="D17" t="str">
            <v>SPS</v>
          </cell>
          <cell r="E17">
            <v>0.1</v>
          </cell>
          <cell r="F17">
            <v>0.55000000000000004</v>
          </cell>
        </row>
        <row r="18">
          <cell r="D18" t="str">
            <v>US Bank</v>
          </cell>
          <cell r="E18">
            <v>0.1</v>
          </cell>
          <cell r="F18">
            <v>0.55000000000000004</v>
          </cell>
        </row>
        <row r="19">
          <cell r="D19" t="str">
            <v>Wells Fargo/ASC</v>
          </cell>
          <cell r="E19">
            <v>0.25</v>
          </cell>
          <cell r="F19">
            <v>0.42</v>
          </cell>
        </row>
        <row r="20">
          <cell r="D20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HAMP Tier 1"/>
      <sheetName val="HAMP Tier 2"/>
      <sheetName val="Mod Terms"/>
      <sheetName val="Data Validation"/>
      <sheetName val="Waterfall Explanation"/>
      <sheetName val="Check for Balloon"/>
      <sheetName val="HAMP Amortization Schedule"/>
    </sheetNames>
    <sheetDataSet>
      <sheetData sheetId="0" refreshError="1"/>
      <sheetData sheetId="1" refreshError="1"/>
      <sheetData sheetId="2">
        <row r="7">
          <cell r="D7">
            <v>40</v>
          </cell>
        </row>
      </sheetData>
      <sheetData sheetId="3"/>
      <sheetData sheetId="4"/>
      <sheetData sheetId="5" refreshError="1"/>
      <sheetData sheetId="6" refreshError="1"/>
      <sheetData sheetId="7" refreshError="1">
        <row r="7">
          <cell r="D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rebella@mfy.org?subject=FHA%20Waterfall%20Workshe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rgb="FFCCFFFF"/>
    <pageSetUpPr autoPageBreaks="0"/>
  </sheetPr>
  <dimension ref="A1:Z67"/>
  <sheetViews>
    <sheetView showGridLines="0" tabSelected="1" zoomScaleNormal="100" workbookViewId="0">
      <selection activeCell="L29" sqref="L29"/>
    </sheetView>
  </sheetViews>
  <sheetFormatPr defaultColWidth="8.85546875" defaultRowHeight="12.75"/>
  <cols>
    <col min="1" max="1" width="3" customWidth="1"/>
    <col min="2" max="2" width="14.28515625" customWidth="1"/>
    <col min="3" max="3" width="7" customWidth="1"/>
    <col min="4" max="4" width="10.7109375" customWidth="1"/>
    <col min="5" max="5" width="15.85546875" customWidth="1"/>
    <col min="6" max="7" width="1.7109375" customWidth="1"/>
    <col min="8" max="8" width="5.28515625" customWidth="1"/>
    <col min="9" max="9" width="4.140625" customWidth="1"/>
    <col min="10" max="10" width="5.140625" customWidth="1"/>
    <col min="11" max="11" width="7.85546875" customWidth="1"/>
    <col min="12" max="12" width="22.85546875" customWidth="1"/>
    <col min="13" max="13" width="15.85546875" customWidth="1"/>
    <col min="14" max="14" width="3" customWidth="1"/>
    <col min="15" max="15" width="3" style="3" customWidth="1"/>
    <col min="16" max="16" width="9.140625" customWidth="1"/>
  </cols>
  <sheetData>
    <row r="1" spans="1:26" ht="21.75" customHeight="1">
      <c r="A1" s="50"/>
      <c r="B1" s="51"/>
      <c r="C1" s="51"/>
      <c r="D1" s="51"/>
      <c r="E1" s="51"/>
      <c r="F1" s="51"/>
      <c r="G1" s="51"/>
      <c r="H1" s="77" t="s">
        <v>20</v>
      </c>
      <c r="I1" s="51"/>
      <c r="J1" s="51"/>
      <c r="K1" s="51"/>
      <c r="L1" s="51"/>
      <c r="M1" s="51"/>
      <c r="N1" s="51"/>
      <c r="O1" s="5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0"/>
      <c r="B2" s="1"/>
      <c r="C2" s="32"/>
      <c r="D2" s="32"/>
      <c r="E2" s="32"/>
      <c r="F2" s="1"/>
      <c r="G2" s="1"/>
      <c r="H2" s="7"/>
      <c r="I2" s="1"/>
      <c r="J2" s="1"/>
      <c r="K2" s="1"/>
      <c r="L2" s="1"/>
      <c r="M2" s="1"/>
      <c r="N2" s="1"/>
      <c r="O2" s="14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>
      <c r="A3" s="205" t="s">
        <v>58</v>
      </c>
      <c r="B3" s="206"/>
      <c r="C3" s="206"/>
      <c r="D3" s="206"/>
      <c r="E3" s="206"/>
      <c r="F3" s="206"/>
      <c r="G3" s="207"/>
      <c r="H3" s="7"/>
      <c r="I3" s="208" t="s">
        <v>57</v>
      </c>
      <c r="J3" s="209"/>
      <c r="K3" s="209"/>
      <c r="L3" s="209"/>
      <c r="M3" s="209"/>
      <c r="N3" s="209"/>
      <c r="O3" s="210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0"/>
      <c r="B4" s="28"/>
      <c r="C4" s="1"/>
      <c r="D4" s="1"/>
      <c r="E4" s="1"/>
      <c r="F4" s="1"/>
      <c r="G4" s="1"/>
      <c r="H4" s="7"/>
      <c r="I4" s="62"/>
      <c r="J4" s="62"/>
      <c r="K4" s="62"/>
      <c r="L4" s="62"/>
      <c r="M4" s="62"/>
      <c r="N4" s="62"/>
      <c r="O4" s="6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211" t="s">
        <v>11</v>
      </c>
      <c r="B5" s="212"/>
      <c r="C5" s="212"/>
      <c r="D5" s="212"/>
      <c r="E5" s="212"/>
      <c r="F5" s="212"/>
      <c r="G5" s="212"/>
      <c r="H5" s="7"/>
      <c r="I5" s="1"/>
      <c r="O5" s="14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1.25" customHeight="1">
      <c r="A6" s="129"/>
      <c r="B6" s="130"/>
      <c r="C6" s="130"/>
      <c r="D6" s="130"/>
      <c r="E6" s="130"/>
      <c r="F6" s="130"/>
      <c r="G6" s="130"/>
      <c r="H6" s="7"/>
      <c r="I6" s="10"/>
      <c r="J6" s="2" t="s">
        <v>23</v>
      </c>
      <c r="K6" s="28"/>
      <c r="L6" s="1"/>
      <c r="M6" s="33"/>
      <c r="N6" s="20"/>
      <c r="O6" s="14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0"/>
      <c r="B7" s="28" t="s">
        <v>93</v>
      </c>
      <c r="C7" s="1"/>
      <c r="D7" s="1"/>
      <c r="E7" s="141" t="s">
        <v>97</v>
      </c>
      <c r="F7" s="1"/>
      <c r="G7" s="1"/>
      <c r="H7" s="7"/>
      <c r="I7" s="10"/>
      <c r="J7" s="64" t="s">
        <v>24</v>
      </c>
      <c r="K7" s="28"/>
      <c r="L7" s="1"/>
      <c r="M7" s="34">
        <v>342.68</v>
      </c>
      <c r="N7" s="20"/>
      <c r="O7" s="14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0"/>
      <c r="B8" s="28" t="str">
        <f>IF(E7="ytd","Enter Date of YTD","")</f>
        <v>Enter Date of YTD</v>
      </c>
      <c r="C8" s="1"/>
      <c r="D8" s="1"/>
      <c r="E8" s="142">
        <v>41256</v>
      </c>
      <c r="F8" s="1"/>
      <c r="G8" s="1"/>
      <c r="H8" s="7"/>
      <c r="I8" s="10"/>
      <c r="J8" s="64" t="s">
        <v>25</v>
      </c>
      <c r="K8" s="28"/>
      <c r="L8" s="1"/>
      <c r="M8" s="34">
        <v>0</v>
      </c>
      <c r="N8" s="20"/>
      <c r="O8" s="14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0"/>
      <c r="B9" s="1" t="s">
        <v>1</v>
      </c>
      <c r="C9" s="1"/>
      <c r="D9" s="1"/>
      <c r="E9" s="37">
        <v>58765.55</v>
      </c>
      <c r="F9" s="1"/>
      <c r="G9" s="1"/>
      <c r="H9" s="7"/>
      <c r="I9" s="10"/>
      <c r="J9" s="64" t="s">
        <v>26</v>
      </c>
      <c r="K9" s="28"/>
      <c r="L9" s="1"/>
      <c r="M9" s="34">
        <v>30</v>
      </c>
      <c r="N9" s="20"/>
      <c r="O9" s="14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0"/>
      <c r="B10" s="28" t="s">
        <v>94</v>
      </c>
      <c r="C10" s="1"/>
      <c r="D10" s="1"/>
      <c r="E10" s="136">
        <f>IF(E7="weekly",E9*52/12,IF(E7="biweekly",E9*26/12,IF(E7="bimonthly",E9*2,IF(E7="annual",E9/12,IF(E7="ytd",E9/DAYS360(DATE(YEAR(E8),1,1),E8)*30,IF(E7="monthly",E9,0))))))</f>
        <v>5154.8728070175439</v>
      </c>
      <c r="F10" s="1"/>
      <c r="G10" s="1"/>
      <c r="H10" s="7"/>
      <c r="I10" s="10"/>
      <c r="J10" s="64" t="s">
        <v>27</v>
      </c>
      <c r="K10" s="28"/>
      <c r="L10" s="1"/>
      <c r="M10" s="34">
        <v>0</v>
      </c>
      <c r="N10" s="5"/>
      <c r="O10" s="1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10"/>
      <c r="B11" s="5" t="s">
        <v>4</v>
      </c>
      <c r="C11" s="1"/>
      <c r="D11" s="1"/>
      <c r="E11" s="36">
        <v>112</v>
      </c>
      <c r="F11" s="1"/>
      <c r="G11" s="1"/>
      <c r="H11" s="7"/>
      <c r="I11" s="10"/>
      <c r="J11" s="64" t="s">
        <v>28</v>
      </c>
      <c r="K11" s="28"/>
      <c r="L11" s="1"/>
      <c r="M11" s="34">
        <v>120</v>
      </c>
      <c r="N11" s="5"/>
      <c r="O11" s="1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0"/>
      <c r="B12" s="5" t="s">
        <v>101</v>
      </c>
      <c r="C12" s="1"/>
      <c r="D12" s="1"/>
      <c r="E12" s="69"/>
      <c r="F12" s="1"/>
      <c r="G12" s="1"/>
      <c r="H12" s="7"/>
      <c r="I12" s="10"/>
      <c r="J12" s="64" t="s">
        <v>29</v>
      </c>
      <c r="K12" s="28"/>
      <c r="L12" s="1"/>
      <c r="M12" s="34">
        <v>90</v>
      </c>
      <c r="N12" s="5"/>
      <c r="O12" s="1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0"/>
      <c r="B13" s="1"/>
      <c r="C13" s="76" t="s">
        <v>7</v>
      </c>
      <c r="D13" s="124"/>
      <c r="E13" s="36">
        <v>0</v>
      </c>
      <c r="F13" s="1"/>
      <c r="G13" s="1"/>
      <c r="H13" s="7"/>
      <c r="I13" s="10"/>
      <c r="J13" s="64"/>
      <c r="K13" s="28"/>
      <c r="L13" s="1"/>
      <c r="M13" s="1"/>
      <c r="N13" s="5"/>
      <c r="O13" s="1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0"/>
      <c r="B14" s="1"/>
      <c r="C14" s="1"/>
      <c r="D14" s="66" t="str">
        <f>IF(E13&gt;0,"Grossed up","")</f>
        <v/>
      </c>
      <c r="E14" s="39">
        <f>E13*1.25</f>
        <v>0</v>
      </c>
      <c r="F14" s="1"/>
      <c r="G14" s="1"/>
      <c r="H14" s="7"/>
      <c r="I14" s="10"/>
      <c r="J14" s="133" t="s">
        <v>54</v>
      </c>
      <c r="K14" s="28"/>
      <c r="L14" s="1"/>
      <c r="M14" s="1"/>
      <c r="N14" s="5"/>
      <c r="O14" s="1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0"/>
      <c r="B15" s="1" t="s">
        <v>2</v>
      </c>
      <c r="C15" s="2"/>
      <c r="D15" s="2"/>
      <c r="E15" s="38"/>
      <c r="F15" s="1"/>
      <c r="G15" s="1"/>
      <c r="H15" s="7"/>
      <c r="I15" s="10"/>
      <c r="J15" s="64" t="s">
        <v>30</v>
      </c>
      <c r="K15" s="28"/>
      <c r="L15" s="1"/>
      <c r="M15" s="34">
        <v>44</v>
      </c>
      <c r="N15" s="5"/>
      <c r="O15" s="1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0"/>
      <c r="B16" s="1"/>
      <c r="C16" s="76" t="s">
        <v>8</v>
      </c>
      <c r="D16" s="124"/>
      <c r="E16" s="36">
        <v>0</v>
      </c>
      <c r="F16" s="28"/>
      <c r="G16" s="1"/>
      <c r="H16" s="7"/>
      <c r="I16" s="10"/>
      <c r="J16" s="64" t="s">
        <v>31</v>
      </c>
      <c r="K16" s="28"/>
      <c r="L16" s="1"/>
      <c r="M16" s="34">
        <v>0</v>
      </c>
      <c r="N16" s="68"/>
      <c r="O16" s="1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0"/>
      <c r="C17" s="1"/>
      <c r="D17" s="1"/>
      <c r="E17" s="40"/>
      <c r="F17" s="28"/>
      <c r="G17" s="1"/>
      <c r="H17" s="7"/>
      <c r="I17" s="10"/>
      <c r="J17" s="64" t="s">
        <v>32</v>
      </c>
      <c r="K17" s="28"/>
      <c r="L17" s="1"/>
      <c r="M17" s="34">
        <v>31</v>
      </c>
      <c r="N17" s="15"/>
      <c r="O17" s="1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0"/>
      <c r="B18" s="1" t="s">
        <v>3</v>
      </c>
      <c r="C18" s="28"/>
      <c r="D18" s="1"/>
      <c r="E18" s="36">
        <v>0</v>
      </c>
      <c r="F18" s="1"/>
      <c r="G18" s="1"/>
      <c r="H18" s="7"/>
      <c r="I18" s="10"/>
      <c r="J18" s="64" t="s">
        <v>33</v>
      </c>
      <c r="K18" s="28"/>
      <c r="L18" s="1"/>
      <c r="M18" s="34">
        <v>0</v>
      </c>
      <c r="N18" s="15"/>
      <c r="O18" s="1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0"/>
      <c r="B19" s="1"/>
      <c r="C19" s="1"/>
      <c r="D19" s="66" t="str">
        <f>IF(E18&gt;0,"Reduced by 25%","")</f>
        <v/>
      </c>
      <c r="E19" s="39">
        <f>E18*0.75</f>
        <v>0</v>
      </c>
      <c r="F19" s="1"/>
      <c r="G19" s="1"/>
      <c r="H19" s="7"/>
      <c r="I19" s="10"/>
      <c r="J19" s="64"/>
      <c r="K19" s="28"/>
      <c r="L19" s="1"/>
      <c r="M19" s="1"/>
      <c r="N19" s="15"/>
      <c r="O19" s="1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0"/>
      <c r="B20" s="1"/>
      <c r="C20" s="1"/>
      <c r="D20" s="1"/>
      <c r="E20" s="28"/>
      <c r="F20" s="1"/>
      <c r="G20" s="1"/>
      <c r="H20" s="7"/>
      <c r="I20" s="10"/>
      <c r="J20" s="2" t="s">
        <v>34</v>
      </c>
      <c r="K20" s="28"/>
      <c r="L20" s="1"/>
      <c r="M20" s="1"/>
      <c r="N20" s="15"/>
      <c r="O20" s="1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10"/>
      <c r="B21" s="28" t="s">
        <v>92</v>
      </c>
      <c r="C21" s="1"/>
      <c r="D21" s="1"/>
      <c r="E21" s="39">
        <f>SUM(E10,E11,E16,E19,E14)</f>
        <v>5266.8728070175439</v>
      </c>
      <c r="F21" s="13"/>
      <c r="G21" s="1"/>
      <c r="H21" s="7"/>
      <c r="I21" s="10"/>
      <c r="J21" s="64" t="s">
        <v>35</v>
      </c>
      <c r="K21" s="28"/>
      <c r="L21" s="1"/>
      <c r="M21" s="34">
        <v>50</v>
      </c>
      <c r="N21" s="15"/>
      <c r="O21" s="1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10"/>
      <c r="B22" s="28"/>
      <c r="C22" s="1"/>
      <c r="D22" s="1"/>
      <c r="E22" s="126"/>
      <c r="F22" s="1"/>
      <c r="G22" s="1"/>
      <c r="H22" s="7"/>
      <c r="I22" s="10"/>
      <c r="J22" s="65" t="s">
        <v>36</v>
      </c>
      <c r="K22" s="28"/>
      <c r="L22" s="1"/>
      <c r="M22" s="34">
        <v>200</v>
      </c>
      <c r="N22" s="15"/>
      <c r="O22" s="1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10"/>
      <c r="B23" s="2" t="s">
        <v>95</v>
      </c>
      <c r="C23" s="1"/>
      <c r="D23" s="1"/>
      <c r="E23" s="1"/>
      <c r="F23" s="1"/>
      <c r="G23" s="1"/>
      <c r="H23" s="7"/>
      <c r="I23" s="10"/>
      <c r="J23" s="64" t="s">
        <v>37</v>
      </c>
      <c r="K23" s="28"/>
      <c r="L23" s="1"/>
      <c r="M23" s="34">
        <v>70</v>
      </c>
      <c r="N23" s="15"/>
      <c r="O23" s="1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10"/>
      <c r="B24" s="60"/>
      <c r="C24" s="1"/>
      <c r="D24" s="1"/>
      <c r="E24" s="1"/>
      <c r="F24" s="1"/>
      <c r="G24" s="1"/>
      <c r="H24" s="7"/>
      <c r="I24" s="10"/>
      <c r="J24" s="64" t="s">
        <v>38</v>
      </c>
      <c r="K24" s="28"/>
      <c r="L24" s="5"/>
      <c r="M24" s="34">
        <v>0</v>
      </c>
      <c r="N24" s="5"/>
      <c r="O24" s="1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10"/>
      <c r="B25" s="29" t="s">
        <v>88</v>
      </c>
      <c r="C25" s="1"/>
      <c r="D25" s="1"/>
      <c r="E25" s="36">
        <v>1500</v>
      </c>
      <c r="F25" s="1"/>
      <c r="G25" s="1"/>
      <c r="H25" s="7"/>
      <c r="I25" s="10"/>
      <c r="J25" s="64" t="s">
        <v>21</v>
      </c>
      <c r="K25" s="28"/>
      <c r="L25" s="1"/>
      <c r="M25" s="34">
        <v>0</v>
      </c>
      <c r="N25" s="5"/>
      <c r="O25" s="1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10"/>
      <c r="B26" s="29" t="s">
        <v>87</v>
      </c>
      <c r="C26" s="1"/>
      <c r="D26" s="1"/>
      <c r="E26" s="36">
        <v>700</v>
      </c>
      <c r="F26" s="1"/>
      <c r="G26" s="1"/>
      <c r="H26" s="7"/>
      <c r="I26" s="1"/>
      <c r="J26" s="64" t="s">
        <v>39</v>
      </c>
      <c r="K26" s="28"/>
      <c r="L26" s="5"/>
      <c r="M26" s="34">
        <v>0</v>
      </c>
      <c r="N26" s="5"/>
      <c r="O26" s="1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10"/>
      <c r="B27" s="29" t="s">
        <v>90</v>
      </c>
      <c r="C27" s="1"/>
      <c r="D27" s="1"/>
      <c r="E27" s="36">
        <v>800</v>
      </c>
      <c r="F27" s="1"/>
      <c r="G27" s="1"/>
      <c r="H27" s="7"/>
      <c r="I27" s="10"/>
      <c r="J27" s="64" t="s">
        <v>40</v>
      </c>
      <c r="K27" s="28"/>
      <c r="L27" s="1"/>
      <c r="M27" s="34">
        <v>0</v>
      </c>
      <c r="N27" s="5"/>
      <c r="O27" s="1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10"/>
      <c r="B28" s="29" t="s">
        <v>89</v>
      </c>
      <c r="C28" s="1"/>
      <c r="D28" s="1"/>
      <c r="E28" s="36">
        <v>0</v>
      </c>
      <c r="F28" s="1"/>
      <c r="G28" s="1"/>
      <c r="H28" s="7"/>
      <c r="I28" s="10"/>
      <c r="J28" s="64" t="s">
        <v>41</v>
      </c>
      <c r="K28" s="28"/>
      <c r="L28" s="1"/>
      <c r="M28" s="34">
        <v>0</v>
      </c>
      <c r="N28" s="1"/>
      <c r="O28" s="1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10"/>
      <c r="B29" s="29" t="s">
        <v>85</v>
      </c>
      <c r="C29" s="1"/>
      <c r="D29" s="1"/>
      <c r="E29" s="145">
        <v>0</v>
      </c>
      <c r="F29" s="1"/>
      <c r="G29" s="1"/>
      <c r="H29" s="7"/>
      <c r="I29" s="10"/>
      <c r="J29" s="64" t="s">
        <v>42</v>
      </c>
      <c r="K29" s="28"/>
      <c r="L29" s="5"/>
      <c r="M29" s="34">
        <v>0</v>
      </c>
      <c r="N29" s="5"/>
      <c r="O29" s="1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10"/>
      <c r="B30" s="29" t="s">
        <v>84</v>
      </c>
      <c r="C30" s="1"/>
      <c r="D30" s="1"/>
      <c r="E30" s="36">
        <v>0</v>
      </c>
      <c r="F30" s="1"/>
      <c r="G30" s="1"/>
      <c r="H30" s="7"/>
      <c r="I30" s="1"/>
      <c r="J30" s="64" t="s">
        <v>43</v>
      </c>
      <c r="K30" s="28"/>
      <c r="L30" s="5"/>
      <c r="M30" s="34">
        <v>0</v>
      </c>
      <c r="N30" s="5"/>
      <c r="O30" s="1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10"/>
      <c r="B31" s="29" t="s">
        <v>86</v>
      </c>
      <c r="C31" s="122"/>
      <c r="D31" s="1"/>
      <c r="E31" s="36">
        <v>0</v>
      </c>
      <c r="F31" s="1"/>
      <c r="G31" s="1"/>
      <c r="H31" s="7"/>
      <c r="I31" s="1"/>
      <c r="J31" s="64" t="s">
        <v>44</v>
      </c>
      <c r="K31" s="28"/>
      <c r="L31" s="5"/>
      <c r="M31" s="34">
        <v>0</v>
      </c>
      <c r="N31" s="5"/>
      <c r="O31" s="1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1.25" customHeight="1">
      <c r="A32" s="10"/>
      <c r="B32" s="29" t="s">
        <v>86</v>
      </c>
      <c r="C32" s="122"/>
      <c r="D32" s="1"/>
      <c r="E32" s="36">
        <v>0</v>
      </c>
      <c r="F32" s="17"/>
      <c r="G32" s="1"/>
      <c r="H32" s="7"/>
      <c r="I32" s="1"/>
      <c r="J32" s="64" t="s">
        <v>45</v>
      </c>
      <c r="K32" s="28"/>
      <c r="L32" s="5"/>
      <c r="M32" s="34">
        <v>0</v>
      </c>
      <c r="N32" s="5"/>
      <c r="O32" s="1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10"/>
      <c r="B33" s="29" t="s">
        <v>99</v>
      </c>
      <c r="C33" s="28"/>
      <c r="D33" s="28"/>
      <c r="E33" s="127">
        <f>SUM(E25:E32)</f>
        <v>3000</v>
      </c>
      <c r="F33" s="17"/>
      <c r="G33" s="1"/>
      <c r="H33" s="7"/>
      <c r="I33" s="1"/>
      <c r="J33" s="64" t="s">
        <v>46</v>
      </c>
      <c r="K33" s="28"/>
      <c r="L33" s="5"/>
      <c r="M33" s="34">
        <v>0</v>
      </c>
      <c r="N33" s="22"/>
      <c r="O33" s="1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10"/>
      <c r="B34" s="29" t="s">
        <v>98</v>
      </c>
      <c r="C34" s="1"/>
      <c r="D34" s="1"/>
      <c r="E34" s="136">
        <f>IF(E7="weekly",E33*52/12,IF(E7="biweekly",E33*26/12,IF(E7="bimonthly",E33*2,IF(E7="annual",E33/12,IF(E7="ytd",E33/DAYS360(DATE(YEAR(E8),1,1),E8)*30,IF(E7="monthly",E33))))))</f>
        <v>263.15789473684214</v>
      </c>
      <c r="F34" s="17"/>
      <c r="G34" s="1"/>
      <c r="H34" s="7"/>
      <c r="I34" s="1"/>
      <c r="J34" s="64" t="s">
        <v>22</v>
      </c>
      <c r="K34" s="28"/>
      <c r="L34" s="5"/>
      <c r="M34" s="34">
        <v>0</v>
      </c>
      <c r="N34" s="5"/>
      <c r="O34" s="1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128"/>
      <c r="B35" s="131"/>
      <c r="C35" s="18"/>
      <c r="D35" s="18"/>
      <c r="E35" s="18"/>
      <c r="F35" s="132"/>
      <c r="G35" s="18"/>
      <c r="H35" s="7"/>
      <c r="I35" s="1"/>
      <c r="J35" s="64" t="s">
        <v>47</v>
      </c>
      <c r="K35" s="28"/>
      <c r="L35" s="1"/>
      <c r="M35" s="34">
        <v>0</v>
      </c>
      <c r="N35" s="5"/>
      <c r="O35" s="1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10"/>
      <c r="B36" s="1"/>
      <c r="C36" s="1"/>
      <c r="D36" s="1"/>
      <c r="E36" s="42"/>
      <c r="F36" s="1"/>
      <c r="G36" s="1"/>
      <c r="H36" s="7"/>
      <c r="I36" s="1"/>
      <c r="J36" s="64" t="s">
        <v>48</v>
      </c>
      <c r="K36" s="28"/>
      <c r="L36" s="1"/>
      <c r="M36" s="34">
        <v>0</v>
      </c>
      <c r="N36" s="5"/>
      <c r="O36" s="1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>
      <c r="A37" s="211" t="s">
        <v>96</v>
      </c>
      <c r="B37" s="212"/>
      <c r="C37" s="212"/>
      <c r="D37" s="212"/>
      <c r="E37" s="212"/>
      <c r="F37" s="212"/>
      <c r="G37" s="212"/>
      <c r="H37" s="7"/>
      <c r="I37" s="1"/>
      <c r="J37" s="64" t="s">
        <v>49</v>
      </c>
      <c r="K37" s="28"/>
      <c r="L37" s="1"/>
      <c r="M37" s="34">
        <v>0</v>
      </c>
      <c r="N37" s="5"/>
      <c r="O37" s="1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>
      <c r="A38" s="129"/>
      <c r="B38" s="130"/>
      <c r="C38" s="130"/>
      <c r="D38" s="130"/>
      <c r="E38" s="130"/>
      <c r="F38" s="130"/>
      <c r="G38" s="130"/>
      <c r="H38" s="41"/>
      <c r="I38" s="1"/>
      <c r="J38" s="64"/>
      <c r="K38" s="28"/>
      <c r="L38" s="1"/>
      <c r="M38" s="1"/>
      <c r="N38" s="5"/>
      <c r="O38" s="14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0"/>
      <c r="B39" s="28" t="s">
        <v>93</v>
      </c>
      <c r="C39" s="1"/>
      <c r="D39" s="1"/>
      <c r="E39" s="141" t="s">
        <v>97</v>
      </c>
      <c r="F39" s="1"/>
      <c r="G39" s="1"/>
      <c r="H39" s="7"/>
      <c r="I39" s="1"/>
      <c r="J39" s="60" t="s">
        <v>51</v>
      </c>
      <c r="K39" s="28"/>
      <c r="L39" s="1"/>
      <c r="M39" s="5"/>
      <c r="N39" s="5"/>
      <c r="O39" s="14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10"/>
      <c r="B40" s="28" t="str">
        <f>IF(E39="ytd","Enter Date of YTD","")</f>
        <v>Enter Date of YTD</v>
      </c>
      <c r="C40" s="1"/>
      <c r="D40" s="1"/>
      <c r="E40" s="142">
        <v>41258</v>
      </c>
      <c r="F40" s="1"/>
      <c r="G40" s="1"/>
      <c r="H40" s="7"/>
      <c r="I40" s="1"/>
      <c r="J40" s="64" t="s">
        <v>50</v>
      </c>
      <c r="K40" s="28"/>
      <c r="L40" s="2"/>
      <c r="M40" s="34">
        <v>60</v>
      </c>
      <c r="N40" s="5"/>
      <c r="O40" s="1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10"/>
      <c r="B41" s="1" t="s">
        <v>1</v>
      </c>
      <c r="C41" s="1"/>
      <c r="D41" s="1"/>
      <c r="E41" s="37">
        <v>5000</v>
      </c>
      <c r="F41" s="1"/>
      <c r="G41" s="1"/>
      <c r="H41" s="7"/>
      <c r="I41" s="1"/>
      <c r="J41" s="64" t="s">
        <v>52</v>
      </c>
      <c r="K41" s="28"/>
      <c r="L41" s="122"/>
      <c r="M41" s="34">
        <v>0</v>
      </c>
      <c r="N41" s="5"/>
      <c r="O41" s="14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10"/>
      <c r="B42" s="28" t="s">
        <v>94</v>
      </c>
      <c r="C42" s="1"/>
      <c r="D42" s="1"/>
      <c r="E42" s="136">
        <f>IF(E39="weekly",E41*52/12,IF(E39="biweekly",E41*26/12,IF(E39="bimonthly",E41*2,IF(E39="annual",E41/12,IF(E39="ytd",E41/DAYS360(DATE(YEAR(E40),1,1),E40)*30,IF(E39="monthly",E41,0))))))</f>
        <v>436.04651162790697</v>
      </c>
      <c r="F42" s="1"/>
      <c r="G42" s="1"/>
      <c r="H42" s="7"/>
      <c r="I42" s="1"/>
      <c r="J42" s="64" t="s">
        <v>52</v>
      </c>
      <c r="K42" s="28"/>
      <c r="L42" s="123"/>
      <c r="M42" s="34">
        <v>0</v>
      </c>
      <c r="N42" s="5"/>
      <c r="O42" s="1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10"/>
      <c r="B43" s="1" t="s">
        <v>2</v>
      </c>
      <c r="C43" s="2"/>
      <c r="D43" s="2"/>
      <c r="E43" s="38"/>
      <c r="F43" s="1"/>
      <c r="G43" s="1"/>
      <c r="H43" s="7"/>
      <c r="I43" s="1"/>
      <c r="J43" s="64" t="s">
        <v>52</v>
      </c>
      <c r="K43" s="28"/>
      <c r="L43" s="123"/>
      <c r="M43" s="34">
        <v>0</v>
      </c>
      <c r="N43" s="5"/>
      <c r="O43" s="14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0"/>
      <c r="B44" s="1"/>
      <c r="C44" s="76" t="s">
        <v>8</v>
      </c>
      <c r="D44" s="124"/>
      <c r="E44" s="36">
        <v>0</v>
      </c>
      <c r="F44" s="1"/>
      <c r="G44" s="1"/>
      <c r="H44" s="19"/>
      <c r="I44" s="1"/>
      <c r="J44" s="64" t="s">
        <v>52</v>
      </c>
      <c r="K44" s="28"/>
      <c r="L44" s="122"/>
      <c r="M44" s="34">
        <v>0</v>
      </c>
      <c r="N44" s="5"/>
      <c r="O44" s="14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10"/>
      <c r="B45" s="5" t="s">
        <v>101</v>
      </c>
      <c r="C45" s="1"/>
      <c r="D45" s="1"/>
      <c r="E45" s="69"/>
      <c r="F45" s="1"/>
      <c r="G45" s="1"/>
      <c r="H45" s="19"/>
      <c r="I45" s="1"/>
      <c r="J45" s="64" t="s">
        <v>52</v>
      </c>
      <c r="K45" s="28"/>
      <c r="L45" s="122"/>
      <c r="M45" s="34">
        <v>0</v>
      </c>
      <c r="N45" s="1"/>
      <c r="O45" s="14"/>
      <c r="P45" s="5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10"/>
      <c r="B46" s="1"/>
      <c r="C46" s="76" t="s">
        <v>7</v>
      </c>
      <c r="D46" s="124"/>
      <c r="E46" s="36">
        <v>0</v>
      </c>
      <c r="F46" s="1"/>
      <c r="G46" s="1"/>
      <c r="H46" s="19"/>
      <c r="I46" s="1"/>
      <c r="J46" s="28"/>
      <c r="K46" s="28"/>
      <c r="L46" s="1"/>
      <c r="M46" s="1"/>
      <c r="N46" s="5"/>
      <c r="O46" s="14"/>
      <c r="P46" s="1"/>
    </row>
    <row r="47" spans="1:26">
      <c r="A47" s="10"/>
      <c r="B47" s="1"/>
      <c r="C47" s="1"/>
      <c r="D47" s="66" t="str">
        <f>IF(E46&gt;0,"Grossed up","")</f>
        <v/>
      </c>
      <c r="E47" s="39">
        <f>E46*1.25</f>
        <v>0</v>
      </c>
      <c r="F47" s="1"/>
      <c r="G47" s="1"/>
      <c r="H47" s="19"/>
      <c r="I47" s="1"/>
      <c r="J47" s="2" t="s">
        <v>53</v>
      </c>
      <c r="K47" s="28"/>
      <c r="L47" s="1"/>
      <c r="M47" s="71">
        <f>SUM(M7:M46)</f>
        <v>1037.68</v>
      </c>
      <c r="N47" s="5"/>
      <c r="O47" s="14"/>
      <c r="P47" s="1"/>
    </row>
    <row r="48" spans="1:26">
      <c r="A48" s="10"/>
      <c r="B48" s="1"/>
      <c r="C48" s="1"/>
      <c r="D48" s="1"/>
      <c r="E48" s="40"/>
      <c r="F48" s="1"/>
      <c r="G48" s="1"/>
      <c r="H48" s="19"/>
      <c r="I48" s="1"/>
      <c r="J48" s="1"/>
      <c r="K48" s="1"/>
      <c r="L48" s="1"/>
      <c r="M48" s="1"/>
      <c r="N48" s="1"/>
      <c r="O48" s="14"/>
      <c r="P48" s="1"/>
    </row>
    <row r="49" spans="1:16">
      <c r="A49" s="10"/>
      <c r="B49" s="28" t="s">
        <v>92</v>
      </c>
      <c r="C49" s="1"/>
      <c r="D49" s="1"/>
      <c r="E49" s="39">
        <f>E44+E42+E47</f>
        <v>436.04651162790697</v>
      </c>
      <c r="F49" s="1"/>
      <c r="G49" s="1"/>
      <c r="H49" s="19"/>
      <c r="I49" s="1"/>
      <c r="J49" s="1"/>
      <c r="K49" s="1"/>
      <c r="L49" s="1"/>
      <c r="M49" s="1"/>
      <c r="N49" s="1"/>
      <c r="O49" s="14"/>
      <c r="P49" s="1"/>
    </row>
    <row r="50" spans="1:16">
      <c r="A50" s="10"/>
      <c r="F50" s="1"/>
      <c r="G50" s="1"/>
      <c r="H50" s="19"/>
      <c r="I50" s="5"/>
      <c r="J50" s="1"/>
      <c r="K50" s="1"/>
      <c r="L50" s="1"/>
      <c r="M50" s="1"/>
      <c r="N50" s="1"/>
      <c r="O50" s="14"/>
    </row>
    <row r="51" spans="1:16">
      <c r="A51" s="10"/>
      <c r="B51" s="2" t="s">
        <v>95</v>
      </c>
      <c r="C51" s="1"/>
      <c r="D51" s="1"/>
      <c r="E51" s="1"/>
      <c r="F51" s="1"/>
      <c r="G51" s="5"/>
      <c r="H51" s="19"/>
      <c r="I51" s="5"/>
      <c r="J51" s="1"/>
      <c r="K51" s="1"/>
      <c r="L51" s="1"/>
      <c r="M51" s="1"/>
      <c r="N51" s="1"/>
      <c r="O51" s="14"/>
    </row>
    <row r="52" spans="1:16">
      <c r="A52" s="10"/>
      <c r="B52" s="60"/>
      <c r="C52" s="1"/>
      <c r="D52" s="1"/>
      <c r="E52" s="1"/>
      <c r="F52" s="1"/>
      <c r="G52" s="5"/>
      <c r="H52" s="19"/>
      <c r="I52" s="5"/>
      <c r="J52" s="1"/>
      <c r="K52" s="1"/>
      <c r="L52" s="1"/>
      <c r="M52" s="1"/>
      <c r="N52" s="1"/>
      <c r="O52" s="14"/>
    </row>
    <row r="53" spans="1:16">
      <c r="A53" s="10"/>
      <c r="B53" s="29" t="s">
        <v>88</v>
      </c>
      <c r="C53" s="1"/>
      <c r="D53" s="1"/>
      <c r="E53" s="36">
        <v>0</v>
      </c>
      <c r="F53" s="1"/>
      <c r="G53" s="5"/>
      <c r="H53" s="19"/>
      <c r="I53" s="5"/>
      <c r="J53" s="1"/>
      <c r="K53" s="1"/>
      <c r="L53" s="1"/>
      <c r="M53" s="1"/>
      <c r="N53" s="1"/>
      <c r="O53" s="14"/>
    </row>
    <row r="54" spans="1:16">
      <c r="A54" s="10"/>
      <c r="B54" s="29" t="s">
        <v>87</v>
      </c>
      <c r="C54" s="1"/>
      <c r="D54" s="1"/>
      <c r="E54" s="36">
        <v>0</v>
      </c>
      <c r="F54" s="1"/>
      <c r="G54" s="5"/>
      <c r="H54" s="19"/>
      <c r="I54" s="5"/>
      <c r="J54" s="1"/>
      <c r="K54" s="1"/>
      <c r="L54" s="1"/>
      <c r="M54" s="1"/>
      <c r="N54" s="1"/>
      <c r="O54" s="14"/>
    </row>
    <row r="55" spans="1:16">
      <c r="A55" s="10"/>
      <c r="B55" s="29" t="s">
        <v>90</v>
      </c>
      <c r="C55" s="1"/>
      <c r="D55" s="1"/>
      <c r="E55" s="36">
        <v>0</v>
      </c>
      <c r="F55" s="1"/>
      <c r="G55" s="1"/>
      <c r="H55" s="19"/>
      <c r="I55" s="1"/>
      <c r="J55" s="1"/>
      <c r="K55" s="1"/>
      <c r="L55" s="1"/>
      <c r="M55" s="1"/>
      <c r="N55" s="1"/>
      <c r="O55" s="14"/>
    </row>
    <row r="56" spans="1:16">
      <c r="A56" s="10"/>
      <c r="B56" s="29" t="s">
        <v>89</v>
      </c>
      <c r="C56" s="1"/>
      <c r="D56" s="1"/>
      <c r="E56" s="36">
        <v>0</v>
      </c>
      <c r="F56" s="1"/>
      <c r="G56" s="1"/>
      <c r="H56" s="19"/>
      <c r="I56" s="1"/>
      <c r="J56" s="1"/>
      <c r="K56" s="1"/>
      <c r="L56" s="1"/>
      <c r="M56" s="1"/>
      <c r="N56" s="1"/>
      <c r="O56" s="14"/>
    </row>
    <row r="57" spans="1:16">
      <c r="A57" s="10"/>
      <c r="B57" s="29" t="s">
        <v>85</v>
      </c>
      <c r="C57" s="1"/>
      <c r="D57" s="1"/>
      <c r="E57" s="36">
        <v>0</v>
      </c>
      <c r="F57" s="1"/>
      <c r="G57" s="1"/>
      <c r="H57" s="19"/>
      <c r="I57" s="1"/>
      <c r="J57" s="1"/>
      <c r="K57" s="1"/>
      <c r="L57" s="1"/>
      <c r="M57" s="1"/>
      <c r="N57" s="1"/>
      <c r="O57" s="14"/>
    </row>
    <row r="58" spans="1:16">
      <c r="A58" s="10"/>
      <c r="B58" s="29" t="s">
        <v>84</v>
      </c>
      <c r="C58" s="1"/>
      <c r="D58" s="1"/>
      <c r="E58" s="36">
        <v>0</v>
      </c>
      <c r="H58" s="19"/>
      <c r="I58" s="1"/>
      <c r="J58" s="1"/>
      <c r="K58" s="1"/>
      <c r="L58" s="1"/>
      <c r="M58" s="1"/>
      <c r="N58" s="1"/>
      <c r="O58" s="14"/>
    </row>
    <row r="59" spans="1:16">
      <c r="A59" s="10"/>
      <c r="B59" s="29" t="s">
        <v>86</v>
      </c>
      <c r="C59" s="122"/>
      <c r="D59" s="1"/>
      <c r="E59" s="36">
        <v>0</v>
      </c>
      <c r="H59" s="19"/>
      <c r="I59" s="1"/>
      <c r="J59" s="1"/>
      <c r="K59" s="1"/>
      <c r="L59" s="1"/>
      <c r="M59" s="1"/>
      <c r="N59" s="1"/>
      <c r="O59" s="14"/>
    </row>
    <row r="60" spans="1:16">
      <c r="A60" s="10"/>
      <c r="B60" s="29" t="s">
        <v>86</v>
      </c>
      <c r="C60" s="122"/>
      <c r="D60" s="1"/>
      <c r="E60" s="36">
        <v>0</v>
      </c>
      <c r="H60" s="19"/>
      <c r="I60" s="1"/>
      <c r="J60" s="1"/>
      <c r="K60" s="1"/>
      <c r="L60" s="1"/>
      <c r="M60" s="1"/>
      <c r="N60" s="1"/>
      <c r="O60" s="14"/>
    </row>
    <row r="61" spans="1:16">
      <c r="A61" s="10"/>
      <c r="B61" s="29" t="s">
        <v>99</v>
      </c>
      <c r="C61" s="1"/>
      <c r="D61" s="1"/>
      <c r="E61" s="143">
        <f>SUM(E53:E60)</f>
        <v>0</v>
      </c>
      <c r="H61" s="19"/>
      <c r="I61" s="1"/>
      <c r="J61" s="1"/>
      <c r="K61" s="1"/>
      <c r="L61" s="1"/>
      <c r="M61" s="1"/>
      <c r="N61" s="1"/>
      <c r="O61" s="14"/>
    </row>
    <row r="62" spans="1:16">
      <c r="A62" s="10"/>
      <c r="B62" s="29" t="s">
        <v>98</v>
      </c>
      <c r="C62" s="1"/>
      <c r="D62" s="1"/>
      <c r="E62" s="136">
        <f>IF(E39="weekly",E61*52/12,IF(E39="biweekly",E61*26/12,IF(E39="bimonthly",E61*2,IF(E39="annual",E61/12,IF(E39="ytd",E61/DAYS360(DATE(YEAR(E40),1,1),E40)*30,IF(E39="monthly",E61,0))))))</f>
        <v>0</v>
      </c>
      <c r="H62" s="19"/>
      <c r="I62" s="1"/>
      <c r="J62" s="1"/>
      <c r="K62" s="1"/>
      <c r="L62" s="1"/>
      <c r="M62" s="1"/>
      <c r="N62" s="1"/>
      <c r="O62" s="14"/>
    </row>
    <row r="63" spans="1:16">
      <c r="A63" s="128"/>
      <c r="B63" s="18"/>
      <c r="C63" s="18"/>
      <c r="D63" s="18"/>
      <c r="E63" s="18"/>
      <c r="F63" s="18"/>
      <c r="G63" s="18"/>
      <c r="H63" s="19"/>
      <c r="J63" s="1"/>
      <c r="K63" s="1"/>
      <c r="L63" s="1"/>
      <c r="M63" s="1"/>
      <c r="N63" s="1"/>
      <c r="O63" s="14"/>
    </row>
    <row r="64" spans="1:16">
      <c r="A64" s="10"/>
      <c r="B64" s="1"/>
      <c r="C64" s="1"/>
      <c r="D64" s="1"/>
      <c r="E64" s="1"/>
      <c r="H64" s="135"/>
      <c r="J64" s="1"/>
      <c r="K64" s="1"/>
      <c r="L64" s="1"/>
      <c r="M64" s="1"/>
      <c r="N64" s="1"/>
      <c r="O64" s="14"/>
    </row>
    <row r="65" spans="1:15">
      <c r="A65" s="10"/>
      <c r="B65" s="2" t="s">
        <v>100</v>
      </c>
      <c r="C65" s="1"/>
      <c r="D65" s="1"/>
      <c r="E65" s="162">
        <f>E21+E49</f>
        <v>5702.9193186454504</v>
      </c>
      <c r="H65" s="135"/>
      <c r="J65" s="1"/>
      <c r="K65" s="1"/>
      <c r="L65" s="1"/>
      <c r="M65" s="1"/>
      <c r="O65" s="14"/>
    </row>
    <row r="66" spans="1:15">
      <c r="A66" s="10"/>
      <c r="B66" s="2"/>
      <c r="C66" s="1"/>
      <c r="D66" s="1"/>
      <c r="E66" s="163"/>
      <c r="H66" s="135"/>
      <c r="J66" s="1"/>
      <c r="K66" s="1"/>
      <c r="L66" s="1"/>
      <c r="M66" s="1"/>
      <c r="O66" s="14"/>
    </row>
    <row r="67" spans="1:15">
      <c r="A67" s="169" t="s">
        <v>113</v>
      </c>
      <c r="B67" s="18"/>
      <c r="C67" s="18"/>
      <c r="D67" s="18"/>
      <c r="E67" s="18"/>
      <c r="F67" s="18"/>
      <c r="G67" s="18"/>
      <c r="H67" s="135"/>
      <c r="I67" s="18"/>
      <c r="J67" s="18"/>
      <c r="K67" s="18"/>
      <c r="L67" s="18"/>
      <c r="M67" s="18"/>
      <c r="N67" s="167"/>
      <c r="O67" s="168" t="s">
        <v>112</v>
      </c>
    </row>
  </sheetData>
  <sheetProtection sheet="1" objects="1" scenarios="1"/>
  <mergeCells count="4">
    <mergeCell ref="A3:G3"/>
    <mergeCell ref="I3:O3"/>
    <mergeCell ref="A5:G5"/>
    <mergeCell ref="A37:G37"/>
  </mergeCells>
  <conditionalFormatting sqref="E8">
    <cfRule type="expression" dxfId="30" priority="2">
      <formula>IF($E$7="YTD",0,1)</formula>
    </cfRule>
  </conditionalFormatting>
  <conditionalFormatting sqref="E40">
    <cfRule type="expression" dxfId="29" priority="1">
      <formula>IF($E$39="YTD",0,1)</formula>
    </cfRule>
  </conditionalFormatting>
  <dataValidations count="2">
    <dataValidation type="list" allowBlank="1" showInputMessage="1" showErrorMessage="1" sqref="E39 E7">
      <formula1>"Weekly, Biweekly, Bimonthly, Monthly, Annual, YTD"</formula1>
    </dataValidation>
    <dataValidation type="date" allowBlank="1" showInputMessage="1" showErrorMessage="1" sqref="E40 E8">
      <formula1>DATE(1,1,YEAR(TODAY()))</formula1>
      <formula2>TODAY()</formula2>
    </dataValidation>
  </dataValidations>
  <pageMargins left="0.42" right="0.42" top="0.632083333333333" bottom="0.55520833333333297" header="0.3" footer="0.3"/>
  <pageSetup scale="80" orientation="portrait" r:id="rId1"/>
  <headerFooter alignWithMargins="0">
    <oddHeader>&amp;L&amp;"Arial,Bold"&amp;14&amp;F&amp;"Arial,Regular"&amp;10
Run on: &amp;D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rgb="FFCCFFFF"/>
    <pageSetUpPr autoPageBreaks="0"/>
  </sheetPr>
  <dimension ref="A1:Z58"/>
  <sheetViews>
    <sheetView showGridLines="0" topLeftCell="A13" zoomScaleNormal="100" workbookViewId="0">
      <selection activeCell="E40" sqref="E40"/>
    </sheetView>
  </sheetViews>
  <sheetFormatPr defaultColWidth="4.7109375" defaultRowHeight="12.75"/>
  <cols>
    <col min="1" max="2" width="3.85546875" customWidth="1"/>
    <col min="3" max="3" width="7" customWidth="1"/>
    <col min="4" max="4" width="23.7109375" customWidth="1"/>
    <col min="5" max="5" width="15.85546875" customWidth="1"/>
    <col min="6" max="7" width="3.5703125" customWidth="1"/>
    <col min="8" max="8" width="5.28515625" customWidth="1"/>
    <col min="9" max="9" width="4.5703125" customWidth="1"/>
    <col min="10" max="10" width="8.140625" customWidth="1"/>
    <col min="11" max="11" width="9.42578125" customWidth="1"/>
    <col min="12" max="12" width="11.85546875" customWidth="1"/>
    <col min="13" max="13" width="15.85546875" customWidth="1"/>
    <col min="14" max="14" width="6.42578125" customWidth="1"/>
    <col min="15" max="15" width="3" style="3" customWidth="1"/>
    <col min="16" max="16" width="9.140625" customWidth="1"/>
    <col min="18" max="18" width="9.140625" bestFit="1" customWidth="1"/>
  </cols>
  <sheetData>
    <row r="1" spans="1:26" ht="18.75">
      <c r="A1" s="50"/>
      <c r="B1" s="51"/>
      <c r="C1" s="51"/>
      <c r="D1" s="51"/>
      <c r="E1" s="51"/>
      <c r="F1" s="51"/>
      <c r="G1" s="51"/>
      <c r="H1" s="77" t="s">
        <v>19</v>
      </c>
      <c r="I1" s="51"/>
      <c r="J1" s="51"/>
      <c r="K1" s="51"/>
      <c r="L1" s="51"/>
      <c r="M1" s="51"/>
      <c r="N1" s="51"/>
      <c r="O1" s="5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47"/>
      <c r="B2" s="61"/>
      <c r="C2" s="61"/>
      <c r="D2" s="61"/>
      <c r="E2" s="61"/>
      <c r="F2" s="61"/>
      <c r="G2" s="148"/>
      <c r="H2" s="7"/>
      <c r="I2" s="147"/>
      <c r="J2" s="61"/>
      <c r="K2" s="149"/>
      <c r="L2" s="149"/>
      <c r="M2" s="149"/>
      <c r="N2" s="61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>
      <c r="A3" s="216" t="s">
        <v>6</v>
      </c>
      <c r="B3" s="217"/>
      <c r="C3" s="217"/>
      <c r="D3" s="217"/>
      <c r="E3" s="217"/>
      <c r="F3" s="217"/>
      <c r="G3" s="218"/>
      <c r="H3" s="7"/>
      <c r="I3" s="213" t="s">
        <v>0</v>
      </c>
      <c r="J3" s="214"/>
      <c r="K3" s="214"/>
      <c r="L3" s="214"/>
      <c r="M3" s="214"/>
      <c r="N3" s="214"/>
      <c r="O3" s="215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47"/>
      <c r="B4" s="12"/>
      <c r="C4" s="1"/>
      <c r="D4" s="1"/>
      <c r="E4" s="33"/>
      <c r="F4" s="20"/>
      <c r="G4" s="14"/>
      <c r="H4" s="7"/>
      <c r="I4" s="10"/>
      <c r="J4" s="1"/>
      <c r="K4" s="1"/>
      <c r="L4" s="1"/>
      <c r="M4" s="1"/>
      <c r="N4" s="1"/>
      <c r="O4" s="9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0"/>
      <c r="B5" s="60" t="s">
        <v>9</v>
      </c>
      <c r="C5" s="12"/>
      <c r="D5" s="1"/>
      <c r="E5" s="1"/>
      <c r="F5" s="20"/>
      <c r="G5" s="14"/>
      <c r="H5" s="7"/>
      <c r="I5" s="10"/>
      <c r="J5" s="60" t="s">
        <v>83</v>
      </c>
      <c r="K5" s="1"/>
      <c r="L5" s="1"/>
      <c r="M5" s="1"/>
      <c r="N5" s="1"/>
      <c r="O5" s="9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0"/>
      <c r="B6" s="28" t="s">
        <v>102</v>
      </c>
      <c r="C6" s="1"/>
      <c r="D6" s="1"/>
      <c r="E6" s="138" t="s">
        <v>154</v>
      </c>
      <c r="F6" s="20"/>
      <c r="G6" s="139"/>
      <c r="H6" s="7"/>
      <c r="I6" s="10"/>
      <c r="J6" s="1"/>
      <c r="K6" s="1"/>
      <c r="L6" s="1"/>
      <c r="M6" s="1"/>
      <c r="N6" s="1"/>
      <c r="O6" s="9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0"/>
      <c r="B7" s="28" t="str">
        <f>IF(E6="ARM","Current Monthly P&amp;I Payment","")</f>
        <v/>
      </c>
      <c r="C7" s="1"/>
      <c r="D7" s="1"/>
      <c r="E7" s="140">
        <v>2147.69</v>
      </c>
      <c r="F7" s="20"/>
      <c r="G7" s="139"/>
      <c r="H7" s="7"/>
      <c r="I7" s="10"/>
      <c r="J7" s="28" t="s">
        <v>55</v>
      </c>
      <c r="K7" s="1"/>
      <c r="L7" s="1"/>
      <c r="M7" s="67">
        <f>Budget!E65</f>
        <v>5702.9193186454504</v>
      </c>
      <c r="N7" s="1"/>
      <c r="O7" s="150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0"/>
      <c r="B8" s="28" t="s">
        <v>10</v>
      </c>
      <c r="C8" s="1"/>
      <c r="D8" s="1"/>
      <c r="E8" s="34">
        <v>400000</v>
      </c>
      <c r="F8" s="20"/>
      <c r="G8" s="14"/>
      <c r="H8" s="7"/>
      <c r="I8" s="10"/>
      <c r="J8" s="28" t="s">
        <v>56</v>
      </c>
      <c r="K8" s="28"/>
      <c r="L8" s="1"/>
      <c r="M8" s="67">
        <f>Budget!E34+Budget!E62</f>
        <v>263.15789473684214</v>
      </c>
      <c r="N8" s="28"/>
      <c r="O8" s="9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0"/>
      <c r="B9" s="28" t="s">
        <v>105</v>
      </c>
      <c r="C9" s="1"/>
      <c r="D9" s="1"/>
      <c r="E9" s="35">
        <v>360</v>
      </c>
      <c r="F9" s="20"/>
      <c r="G9" s="14"/>
      <c r="H9" s="7"/>
      <c r="I9" s="10"/>
      <c r="J9" s="28" t="s">
        <v>59</v>
      </c>
      <c r="K9" s="1"/>
      <c r="L9" s="1"/>
      <c r="M9" s="39">
        <f>M7-M8</f>
        <v>5439.7614239086079</v>
      </c>
      <c r="N9" s="28"/>
      <c r="O9" s="9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0"/>
      <c r="B10" s="28" t="s">
        <v>116</v>
      </c>
      <c r="C10" s="1"/>
      <c r="D10" s="1"/>
      <c r="E10" s="73">
        <v>0.09</v>
      </c>
      <c r="F10" s="20"/>
      <c r="G10" s="14"/>
      <c r="H10" s="7"/>
      <c r="I10" s="10"/>
      <c r="J10" s="1"/>
      <c r="K10" s="1"/>
      <c r="L10" s="1"/>
      <c r="M10" s="1"/>
      <c r="N10" s="1"/>
      <c r="O10" s="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10"/>
      <c r="B11" s="28" t="s">
        <v>13</v>
      </c>
      <c r="C11" s="1"/>
      <c r="D11" s="1"/>
      <c r="E11" s="24">
        <v>39448</v>
      </c>
      <c r="F11" s="1"/>
      <c r="G11" s="14"/>
      <c r="H11" s="7"/>
      <c r="I11" s="10"/>
      <c r="J11" s="28" t="s">
        <v>104</v>
      </c>
      <c r="K11" s="1"/>
      <c r="L11" s="1"/>
      <c r="M11" s="67">
        <f>Budget!M47</f>
        <v>1037.68</v>
      </c>
      <c r="N11" s="125"/>
      <c r="O11" s="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0"/>
      <c r="B12" s="28" t="s">
        <v>118</v>
      </c>
      <c r="C12" s="1"/>
      <c r="D12" s="1"/>
      <c r="E12" s="36">
        <v>150</v>
      </c>
      <c r="F12" s="5"/>
      <c r="G12" s="14"/>
      <c r="H12" s="7"/>
      <c r="I12" s="10"/>
      <c r="J12" s="28" t="s">
        <v>14</v>
      </c>
      <c r="K12" s="1"/>
      <c r="L12" s="1"/>
      <c r="M12" s="44">
        <f ca="1">E22</f>
        <v>3820.1830378632862</v>
      </c>
      <c r="N12" s="125"/>
      <c r="O12" s="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0"/>
      <c r="B13" s="28" t="s">
        <v>119</v>
      </c>
      <c r="C13" s="1"/>
      <c r="D13" s="1"/>
      <c r="E13" s="36">
        <v>300</v>
      </c>
      <c r="F13" s="5"/>
      <c r="G13" s="14"/>
      <c r="H13" s="7"/>
      <c r="I13" s="10"/>
      <c r="J13" s="29" t="s">
        <v>53</v>
      </c>
      <c r="K13" s="28"/>
      <c r="L13" s="1"/>
      <c r="M13" s="115">
        <f ca="1">M11+M12</f>
        <v>4857.8630378632861</v>
      </c>
      <c r="N13" s="118"/>
      <c r="O13" s="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0"/>
      <c r="B14" s="28" t="s">
        <v>120</v>
      </c>
      <c r="C14" s="1"/>
      <c r="D14" s="1"/>
      <c r="E14" s="37">
        <v>0</v>
      </c>
      <c r="F14" s="5"/>
      <c r="G14" s="14"/>
      <c r="H14" s="7"/>
      <c r="I14" s="10"/>
      <c r="J14" s="1"/>
      <c r="K14" s="28"/>
      <c r="L14" s="1"/>
      <c r="M14" s="117"/>
      <c r="N14" s="118"/>
      <c r="O14" s="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0"/>
      <c r="B15" s="29" t="s">
        <v>114</v>
      </c>
      <c r="C15" s="1"/>
      <c r="D15" s="1"/>
      <c r="E15" s="170" t="s">
        <v>115</v>
      </c>
      <c r="F15" s="5"/>
      <c r="G15" s="14"/>
      <c r="H15" s="7"/>
      <c r="I15" s="10"/>
      <c r="J15" s="28" t="s">
        <v>59</v>
      </c>
      <c r="K15" s="1"/>
      <c r="L15" s="1"/>
      <c r="M15" s="116">
        <f>M9</f>
        <v>5439.7614239086079</v>
      </c>
      <c r="N15" s="118"/>
      <c r="O15" s="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>
      <c r="A16" s="10"/>
      <c r="B16" s="29" t="str">
        <f>IF(E15="No","Upfront MIP Financed?","")</f>
        <v>Upfront MIP Financed?</v>
      </c>
      <c r="C16" s="1"/>
      <c r="D16" s="1"/>
      <c r="E16" s="170" t="s">
        <v>74</v>
      </c>
      <c r="F16" s="5"/>
      <c r="G16" s="14"/>
      <c r="H16" s="7"/>
      <c r="I16" s="10"/>
      <c r="J16" s="28" t="s">
        <v>53</v>
      </c>
      <c r="K16" s="1"/>
      <c r="L16" s="1"/>
      <c r="M16" s="113">
        <f ca="1">M13</f>
        <v>4857.8630378632861</v>
      </c>
      <c r="N16" s="118"/>
      <c r="O16" s="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thickBot="1">
      <c r="A17" s="10"/>
      <c r="B17" s="28" t="str">
        <f>IF(E15="No","Original Value","")</f>
        <v>Original Value</v>
      </c>
      <c r="C17" s="1"/>
      <c r="D17" s="1"/>
      <c r="E17" s="196">
        <v>550000</v>
      </c>
      <c r="F17" s="20"/>
      <c r="G17" s="14"/>
      <c r="H17" s="7"/>
      <c r="I17" s="10"/>
      <c r="J17" s="2" t="s">
        <v>15</v>
      </c>
      <c r="K17" s="1"/>
      <c r="L17" s="1"/>
      <c r="M17" s="119">
        <f ca="1">M15-M13</f>
        <v>581.89838604532179</v>
      </c>
      <c r="N17" s="17"/>
      <c r="O17" s="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0"/>
      <c r="B18" s="1" t="str">
        <f>IF(AND(E6="ARM",E15="No"),"Original Interest Rate","")</f>
        <v/>
      </c>
      <c r="C18" s="1"/>
      <c r="D18" s="1"/>
      <c r="E18" s="171">
        <v>0.04</v>
      </c>
      <c r="F18" s="5"/>
      <c r="G18" s="14"/>
      <c r="H18" s="7"/>
      <c r="I18" s="10"/>
      <c r="J18" s="1"/>
      <c r="K18" s="1"/>
      <c r="L18" s="1"/>
      <c r="M18" s="1"/>
      <c r="N18" s="1"/>
      <c r="O18" s="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0"/>
      <c r="B19" s="26" t="str">
        <f>IF(E15="No","Estimated MIP","")</f>
        <v>Estimated MIP</v>
      </c>
      <c r="C19" s="1"/>
      <c r="D19" s="1"/>
      <c r="E19" s="173">
        <f ca="1">MIP</f>
        <v>151.69257008416236</v>
      </c>
      <c r="F19" s="5"/>
      <c r="G19" s="14"/>
      <c r="H19" s="7"/>
      <c r="I19" s="10"/>
      <c r="J19" s="1"/>
      <c r="K19" s="1"/>
      <c r="L19" s="1"/>
      <c r="M19" s="1"/>
      <c r="N19" s="1"/>
      <c r="O19" s="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0"/>
      <c r="B20" s="28" t="str">
        <f>IF(E15="Yes","MIP","")</f>
        <v/>
      </c>
      <c r="C20" s="1"/>
      <c r="D20" s="1"/>
      <c r="E20" s="172">
        <v>200</v>
      </c>
      <c r="F20" s="5"/>
      <c r="G20" s="14"/>
      <c r="H20" s="7"/>
      <c r="I20" s="1"/>
      <c r="J20" s="1"/>
      <c r="K20" s="1"/>
      <c r="L20" s="1"/>
      <c r="M20" s="1"/>
      <c r="N20" s="1"/>
      <c r="O20" s="1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10"/>
      <c r="B21" s="28" t="s">
        <v>65</v>
      </c>
      <c r="C21" s="1"/>
      <c r="D21" s="1"/>
      <c r="E21" s="43">
        <f>IF(E6="ARM",E7,-PMT(rate/12,E9,E8))</f>
        <v>3218.4904677791237</v>
      </c>
      <c r="F21" s="68">
        <f ca="1">E22-E21</f>
        <v>601.69257008416253</v>
      </c>
      <c r="G21" s="14"/>
      <c r="H21" s="7"/>
      <c r="I21" s="1"/>
      <c r="J21" s="1"/>
      <c r="K21" s="1"/>
      <c r="L21" s="1"/>
      <c r="M21" s="1"/>
      <c r="N21" s="1"/>
      <c r="O21" s="1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10"/>
      <c r="B22" s="28" t="s">
        <v>5</v>
      </c>
      <c r="C22" s="1"/>
      <c r="D22" s="1"/>
      <c r="E22" s="43">
        <f ca="1">SUM(E21,E12:E14,IF(E15="Yes",E20,E19))</f>
        <v>3820.1830378632862</v>
      </c>
      <c r="F22" s="15"/>
      <c r="G22" s="14"/>
      <c r="H22" s="7"/>
      <c r="I22" s="1"/>
      <c r="J22" s="1"/>
      <c r="K22" s="1"/>
      <c r="L22" s="1"/>
      <c r="M22" s="1"/>
      <c r="N22" s="1"/>
      <c r="O22" s="1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10"/>
      <c r="B23" s="1"/>
      <c r="C23" s="1"/>
      <c r="D23" s="1"/>
      <c r="E23" s="70"/>
      <c r="F23" s="15"/>
      <c r="G23" s="14"/>
      <c r="H23" s="7"/>
      <c r="I23" s="1"/>
      <c r="J23" s="1"/>
      <c r="K23" s="1"/>
      <c r="L23" s="1"/>
      <c r="M23" s="1"/>
      <c r="N23" s="1"/>
      <c r="O23" s="1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176"/>
      <c r="B24" s="222" t="s">
        <v>123</v>
      </c>
      <c r="C24" s="222"/>
      <c r="D24" s="222"/>
      <c r="E24" s="222"/>
      <c r="F24" s="177"/>
      <c r="G24" s="178"/>
      <c r="H24" s="7"/>
      <c r="I24" s="1"/>
      <c r="J24" s="1"/>
      <c r="K24" s="1"/>
      <c r="L24" s="1"/>
      <c r="M24" s="1"/>
      <c r="N24" s="1"/>
      <c r="O24" s="14"/>
      <c r="P24" s="3"/>
      <c r="Q24" s="146"/>
      <c r="R24" s="146"/>
      <c r="S24" s="3"/>
      <c r="T24" s="3"/>
      <c r="U24" s="3"/>
      <c r="V24" s="3"/>
      <c r="W24" s="3"/>
      <c r="X24" s="3"/>
      <c r="Y24" s="3"/>
      <c r="Z24" s="3"/>
    </row>
    <row r="25" spans="1:26">
      <c r="A25" s="176"/>
      <c r="B25" s="184" t="s">
        <v>121</v>
      </c>
      <c r="C25" s="179"/>
      <c r="D25" s="179"/>
      <c r="E25" s="188" t="s">
        <v>147</v>
      </c>
      <c r="F25" s="177"/>
      <c r="G25" s="178"/>
      <c r="H25" s="7"/>
      <c r="I25" s="1"/>
      <c r="J25" s="1"/>
      <c r="K25" s="1"/>
      <c r="L25" s="1"/>
      <c r="M25" s="1"/>
      <c r="N25" s="1"/>
      <c r="O25" s="1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176"/>
      <c r="B26" s="192" t="str">
        <f>IF(infotype=1,IF(E15="Other","Cannot Calculate Using Default Date Only","Estimate Arrears and UPB at Default:"),"Enter UPB at Default:")</f>
        <v>Estimate Arrears and UPB at Default:</v>
      </c>
      <c r="C26" s="179"/>
      <c r="D26" s="179"/>
      <c r="E26" s="193">
        <v>335000</v>
      </c>
      <c r="F26" s="177"/>
      <c r="G26" s="178"/>
      <c r="H26" s="7"/>
      <c r="I26" s="1"/>
      <c r="J26" s="1"/>
      <c r="K26" s="1"/>
      <c r="L26" s="1"/>
      <c r="M26" s="1"/>
      <c r="N26" s="1"/>
      <c r="O26" s="1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176"/>
      <c r="B27" s="192" t="str">
        <f>IF(infotype=2,"Estimate Arrears:",IF(infotype=3,"Enter Amount of Arrears:",""))</f>
        <v/>
      </c>
      <c r="C27" s="179"/>
      <c r="D27" s="179"/>
      <c r="E27" s="193">
        <v>100000</v>
      </c>
      <c r="F27" s="177"/>
      <c r="G27" s="178"/>
      <c r="H27" s="7"/>
      <c r="I27" s="1"/>
      <c r="J27" s="1"/>
      <c r="K27" s="1"/>
      <c r="L27" s="1"/>
      <c r="M27" s="1"/>
      <c r="N27" s="1"/>
      <c r="O27" s="1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176"/>
      <c r="B28" s="184" t="s">
        <v>158</v>
      </c>
      <c r="C28" s="191"/>
      <c r="D28" s="191"/>
      <c r="E28" s="182">
        <v>41426</v>
      </c>
      <c r="F28" s="175"/>
      <c r="G28" s="178"/>
      <c r="H28" s="7"/>
      <c r="I28" s="1"/>
      <c r="J28" s="1"/>
      <c r="K28" s="1"/>
      <c r="L28" s="1"/>
      <c r="M28" s="1"/>
      <c r="N28" s="1"/>
      <c r="O28" s="1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176"/>
      <c r="B29" s="184" t="str">
        <f>IF(infotype=3,"","Today's Date")</f>
        <v>Today's Date</v>
      </c>
      <c r="C29" s="191"/>
      <c r="D29" s="191"/>
      <c r="E29" s="190">
        <f ca="1">TODAY()</f>
        <v>42076</v>
      </c>
      <c r="F29" s="175"/>
      <c r="G29" s="178"/>
      <c r="H29" s="7"/>
      <c r="I29" s="1"/>
      <c r="J29" s="1"/>
      <c r="K29" s="1"/>
      <c r="L29" s="1"/>
      <c r="M29" s="1"/>
      <c r="N29" s="1"/>
      <c r="O29" s="1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176"/>
      <c r="B30" s="186" t="str">
        <f>IF(infotype=3,"","Total Months in Default")</f>
        <v>Total Months in Default</v>
      </c>
      <c r="C30" s="180"/>
      <c r="D30" s="180"/>
      <c r="E30" s="183">
        <f ca="1">ROUNDUP((DAYS360(E28,E29))/30,0)</f>
        <v>22</v>
      </c>
      <c r="F30" s="175"/>
      <c r="G30" s="178">
        <v>0</v>
      </c>
      <c r="H30" s="7"/>
      <c r="I30" s="1"/>
      <c r="J30" s="1"/>
      <c r="K30" s="1"/>
      <c r="L30" s="1"/>
      <c r="M30" s="1"/>
      <c r="N30" s="1"/>
      <c r="O30" s="1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176"/>
      <c r="B31" s="186" t="str">
        <f>IF(infotype=3,"",IF(E15="Previous HAMP Mod","Amortizing UPB at Default",IF(infotype=2,"UPB at Default",IF(infotype=1,"Est UPB at Default",0))))</f>
        <v>Est UPB at Default</v>
      </c>
      <c r="C31" s="180"/>
      <c r="D31" s="180"/>
      <c r="E31" s="187">
        <f>IF(infotype=1,-PV(rate/12,LOANTERM-ROUNDUP(DAYS360(FPAY,DDate)/30,0),E21),E26)</f>
        <v>381784.26351669728</v>
      </c>
      <c r="F31" s="175"/>
      <c r="G31" s="178"/>
      <c r="H31" s="7"/>
      <c r="I31" s="1"/>
      <c r="J31" s="1"/>
      <c r="K31" s="1"/>
      <c r="L31" s="1"/>
      <c r="M31" s="1"/>
      <c r="N31" s="1"/>
      <c r="O31" s="1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176"/>
      <c r="B32" s="186" t="str">
        <f>IF(infotype=3,"","Taxes in Arrears")</f>
        <v>Taxes in Arrears</v>
      </c>
      <c r="C32" s="179"/>
      <c r="D32" s="179"/>
      <c r="E32" s="187">
        <f ca="1">E12*E30</f>
        <v>3300</v>
      </c>
      <c r="F32" s="175"/>
      <c r="G32" s="178"/>
      <c r="H32" s="7"/>
      <c r="I32" s="1"/>
      <c r="J32" s="1"/>
      <c r="K32" s="1"/>
      <c r="L32" s="1"/>
      <c r="M32" s="1"/>
      <c r="N32" s="1"/>
      <c r="O32" s="1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176"/>
      <c r="B33" s="186" t="str">
        <f>IF(infotype=3,"","Insurance Arrears")</f>
        <v>Insurance Arrears</v>
      </c>
      <c r="C33" s="179"/>
      <c r="D33" s="179"/>
      <c r="E33" s="187">
        <f ca="1">E13*E30</f>
        <v>6600</v>
      </c>
      <c r="F33" s="175"/>
      <c r="G33" s="178"/>
      <c r="H33" s="7"/>
      <c r="I33" s="1"/>
      <c r="J33" s="1"/>
      <c r="K33" s="1"/>
      <c r="L33" s="1"/>
      <c r="M33" s="1"/>
      <c r="N33" s="1"/>
      <c r="O33" s="1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176"/>
      <c r="B34" s="184" t="str">
        <f>IF(infotype=3,"","Association Fee Arrears")</f>
        <v>Association Fee Arrears</v>
      </c>
      <c r="C34" s="179"/>
      <c r="D34" s="179"/>
      <c r="E34" s="187">
        <f ca="1">E14*E30</f>
        <v>0</v>
      </c>
      <c r="F34" s="175"/>
      <c r="G34" s="178"/>
      <c r="H34" s="7"/>
      <c r="I34" s="1"/>
      <c r="J34" s="1"/>
      <c r="K34" s="1"/>
      <c r="L34" s="1"/>
      <c r="M34" s="1"/>
      <c r="N34" s="1"/>
      <c r="O34" s="1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176"/>
      <c r="B35" s="186" t="str">
        <f>IF(infotype=3,"","Interest Arrears")</f>
        <v>Interest Arrears</v>
      </c>
      <c r="C35" s="179"/>
      <c r="D35" s="189"/>
      <c r="E35" s="187">
        <f ca="1">E30*ROUND(rate/12*E31,2)+(DAY(E29)-DAY(E28))*ROUND(rate/365*E31,4)</f>
        <v>64124.023200000003</v>
      </c>
      <c r="F35" s="175"/>
      <c r="G35" s="178"/>
      <c r="H35" s="7"/>
      <c r="I35" s="1"/>
      <c r="J35" s="1"/>
      <c r="K35" s="1"/>
      <c r="L35" s="1"/>
      <c r="M35" s="1"/>
      <c r="N35" s="1"/>
      <c r="O35" s="1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176"/>
      <c r="B36" s="186" t="str">
        <f>IF(infotype=3,"","MIP Arrears")</f>
        <v>MIP Arrears</v>
      </c>
      <c r="C36" s="179"/>
      <c r="D36" s="189"/>
      <c r="E36" s="187">
        <f ca="1">IF(E15="Yes",E20,E19)*E30</f>
        <v>3337.2365418515719</v>
      </c>
      <c r="F36" s="175"/>
      <c r="G36" s="178"/>
      <c r="H36" s="7"/>
      <c r="I36" s="1"/>
      <c r="J36" s="1"/>
      <c r="K36" s="1"/>
      <c r="L36" s="1"/>
      <c r="M36" s="1"/>
      <c r="N36" s="1"/>
      <c r="O36" s="1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thickBot="1">
      <c r="A37" s="176"/>
      <c r="B37" s="180" t="str">
        <f>IF(infotype=3,"","Allowable Fees &amp; Costs")</f>
        <v>Allowable Fees &amp; Costs</v>
      </c>
      <c r="C37" s="180"/>
      <c r="D37" s="180"/>
      <c r="E37" s="185">
        <v>1000</v>
      </c>
      <c r="F37" s="175"/>
      <c r="G37" s="178"/>
      <c r="H37" s="7"/>
      <c r="I37" s="1"/>
      <c r="J37" s="1"/>
      <c r="K37" s="1"/>
      <c r="L37" s="1"/>
      <c r="M37" s="1"/>
      <c r="N37" s="1"/>
      <c r="O37" s="1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thickBot="1">
      <c r="A38" s="176"/>
      <c r="B38" s="181" t="str">
        <f>IF(infotype=3,"","Total Eligible Arrears")</f>
        <v>Total Eligible Arrears</v>
      </c>
      <c r="C38" s="180"/>
      <c r="D38" s="180"/>
      <c r="E38" s="194">
        <f ca="1">IF(infotype=3,E27,SUM(E32:E37))</f>
        <v>78361.259741851565</v>
      </c>
      <c r="F38" s="175"/>
      <c r="G38" s="178"/>
      <c r="H38" s="41"/>
      <c r="I38" s="1"/>
      <c r="J38" s="1"/>
      <c r="K38" s="1"/>
      <c r="L38" s="1"/>
      <c r="M38" s="1"/>
      <c r="N38" s="1"/>
      <c r="O38" s="14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0"/>
      <c r="B39" s="15"/>
      <c r="C39" s="12"/>
      <c r="D39" s="5"/>
      <c r="E39" s="5"/>
      <c r="F39" s="5"/>
      <c r="G39" s="14"/>
      <c r="H39" s="7"/>
      <c r="I39" s="1"/>
      <c r="J39" s="1"/>
      <c r="K39" s="1"/>
      <c r="L39" s="1"/>
      <c r="M39" s="1"/>
      <c r="N39" s="1"/>
      <c r="O39" s="14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10"/>
      <c r="B40" s="60" t="s">
        <v>12</v>
      </c>
      <c r="C40" s="1"/>
      <c r="D40" s="1"/>
      <c r="E40" s="1"/>
      <c r="F40" s="5"/>
      <c r="G40" s="14"/>
      <c r="H40" s="7"/>
      <c r="I40" s="1"/>
      <c r="J40" s="1"/>
      <c r="K40" s="1"/>
      <c r="L40" s="1"/>
      <c r="M40" s="1"/>
      <c r="N40" s="1"/>
      <c r="O40" s="1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10"/>
      <c r="B41" s="219" t="str">
        <f>HYPERLINK("http://www.freddiemac.com/pmms/","Freddie Mac PMMS 30yr Fixed")</f>
        <v>Freddie Mac PMMS 30yr Fixed</v>
      </c>
      <c r="C41" s="220"/>
      <c r="D41" s="221"/>
      <c r="E41" s="157">
        <v>3.7499999999999999E-2</v>
      </c>
      <c r="F41" s="5"/>
      <c r="G41" s="14"/>
      <c r="H41" s="7"/>
      <c r="I41" s="1"/>
      <c r="J41" s="1"/>
      <c r="K41" s="1"/>
      <c r="L41" s="1"/>
      <c r="M41" s="1"/>
      <c r="N41" s="1"/>
      <c r="O41" s="14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10"/>
      <c r="B42" s="28" t="s">
        <v>106</v>
      </c>
      <c r="C42" s="2"/>
      <c r="D42" s="2"/>
      <c r="E42" s="158">
        <v>2.5000000000000001E-3</v>
      </c>
      <c r="F42" s="5"/>
      <c r="G42" s="14"/>
      <c r="H42" s="7"/>
      <c r="I42" s="1"/>
      <c r="J42" s="1"/>
      <c r="K42" s="1"/>
      <c r="L42" s="1"/>
      <c r="M42" s="1"/>
      <c r="N42" s="1"/>
      <c r="O42" s="1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 customHeight="1">
      <c r="A43" s="10"/>
      <c r="B43" s="2" t="s">
        <v>103</v>
      </c>
      <c r="C43" s="1"/>
      <c r="D43" s="1"/>
      <c r="E43" s="159">
        <f>ROUND((E41+E42)*800,0)/800</f>
        <v>0.04</v>
      </c>
      <c r="F43" s="5"/>
      <c r="G43" s="14"/>
      <c r="H43" s="7"/>
      <c r="I43" s="1"/>
      <c r="J43" s="1"/>
      <c r="K43" s="1"/>
      <c r="L43" s="1"/>
      <c r="M43" s="1"/>
      <c r="N43" s="1"/>
      <c r="O43" s="14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0"/>
      <c r="B44" s="99"/>
      <c r="C44" s="22"/>
      <c r="D44" s="5"/>
      <c r="E44" s="27"/>
      <c r="F44" s="5"/>
      <c r="G44" s="14"/>
      <c r="H44" s="19"/>
      <c r="I44" s="1"/>
      <c r="J44" s="1"/>
      <c r="K44" s="1"/>
      <c r="L44" s="1"/>
      <c r="M44" s="1"/>
      <c r="N44" s="1"/>
      <c r="O44" s="14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10"/>
      <c r="B45" s="60" t="s">
        <v>70</v>
      </c>
      <c r="C45" s="1"/>
      <c r="D45" s="1"/>
      <c r="E45" s="1"/>
      <c r="F45" s="5"/>
      <c r="G45" s="14"/>
      <c r="H45" s="7"/>
      <c r="I45" s="1"/>
      <c r="J45" s="1"/>
      <c r="K45" s="1"/>
      <c r="L45" s="1"/>
      <c r="M45" s="1"/>
      <c r="N45" s="1"/>
      <c r="O45" s="14"/>
      <c r="P45" s="5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10"/>
      <c r="B46" s="28" t="s">
        <v>107</v>
      </c>
      <c r="C46" s="1"/>
      <c r="D46" s="1"/>
      <c r="E46" s="144">
        <v>0</v>
      </c>
      <c r="F46" s="5"/>
      <c r="G46" s="14"/>
      <c r="H46" s="7"/>
      <c r="I46" s="1"/>
      <c r="J46" s="1"/>
      <c r="K46" s="1"/>
      <c r="L46" s="1"/>
      <c r="M46" s="1"/>
      <c r="N46" s="1"/>
      <c r="O46" s="14"/>
      <c r="P46" s="1"/>
    </row>
    <row r="47" spans="1:26">
      <c r="A47" s="10"/>
      <c r="B47" s="28" t="str">
        <f>IF(E46&gt;0,"UPB at Time of Previous Partial Claim","")</f>
        <v/>
      </c>
      <c r="C47" s="1"/>
      <c r="D47" s="1"/>
      <c r="E47" s="204">
        <v>0</v>
      </c>
      <c r="F47" s="1"/>
      <c r="G47" s="1"/>
      <c r="H47" s="7"/>
      <c r="I47" s="1"/>
      <c r="J47" s="1"/>
      <c r="K47" s="1"/>
      <c r="L47" s="1"/>
      <c r="M47" s="1"/>
      <c r="N47" s="1"/>
      <c r="O47" s="14"/>
      <c r="P47" s="1"/>
    </row>
    <row r="48" spans="1:26">
      <c r="A48" s="10"/>
      <c r="B48" s="1"/>
      <c r="C48" s="1"/>
      <c r="D48" s="1"/>
      <c r="E48" s="1"/>
      <c r="F48" s="1"/>
      <c r="G48" s="1"/>
      <c r="H48" s="7"/>
      <c r="I48" s="1"/>
      <c r="J48" s="1"/>
      <c r="K48" s="1"/>
      <c r="L48" s="1"/>
      <c r="M48" s="1"/>
      <c r="N48" s="1"/>
      <c r="O48" s="14"/>
      <c r="P48" s="1"/>
    </row>
    <row r="49" spans="1:16">
      <c r="A49" s="169" t="s">
        <v>113</v>
      </c>
      <c r="B49" s="18"/>
      <c r="C49" s="18"/>
      <c r="D49" s="18"/>
      <c r="E49" s="18"/>
      <c r="F49" s="18"/>
      <c r="G49" s="18"/>
      <c r="H49" s="7"/>
      <c r="I49" s="18"/>
      <c r="J49" s="18"/>
      <c r="K49" s="18"/>
      <c r="L49" s="18"/>
      <c r="M49" s="18"/>
      <c r="N49" s="167"/>
      <c r="O49" s="168" t="s">
        <v>112</v>
      </c>
      <c r="P49" s="1"/>
    </row>
    <row r="50" spans="1:16">
      <c r="H50" s="5"/>
      <c r="I50" s="1"/>
      <c r="J50" s="1"/>
      <c r="K50" s="28"/>
      <c r="L50" s="28"/>
      <c r="M50" s="28"/>
      <c r="N50" s="1"/>
      <c r="O50" s="5"/>
    </row>
    <row r="51" spans="1:16">
      <c r="H51" s="5"/>
      <c r="I51" s="1"/>
      <c r="N51" s="1"/>
      <c r="O51" s="5"/>
    </row>
    <row r="52" spans="1:16">
      <c r="H52" s="5"/>
      <c r="I52" s="1"/>
      <c r="J52" s="1"/>
      <c r="K52" s="1"/>
      <c r="L52" s="1"/>
      <c r="M52" s="1"/>
      <c r="N52" s="1"/>
      <c r="O52" s="5"/>
    </row>
    <row r="53" spans="1:16">
      <c r="H53" s="3"/>
      <c r="I53" s="1"/>
      <c r="J53" s="1"/>
      <c r="K53" s="1"/>
      <c r="L53" s="1"/>
      <c r="M53" s="1"/>
      <c r="N53" s="1"/>
      <c r="O53" s="5"/>
    </row>
    <row r="54" spans="1:16">
      <c r="H54" s="3"/>
      <c r="I54" s="5"/>
      <c r="J54" s="1"/>
      <c r="K54" s="1"/>
      <c r="L54" s="1"/>
      <c r="M54" s="1"/>
      <c r="N54" s="1"/>
      <c r="O54" s="5"/>
    </row>
    <row r="55" spans="1:16">
      <c r="H55" s="3"/>
      <c r="I55" s="3"/>
      <c r="J55" s="1"/>
      <c r="K55" s="1"/>
      <c r="L55" s="1"/>
      <c r="M55" s="1"/>
    </row>
    <row r="56" spans="1:16">
      <c r="H56" s="3"/>
      <c r="I56" s="3"/>
    </row>
    <row r="57" spans="1:16">
      <c r="I57" s="3"/>
    </row>
    <row r="58" spans="1:16">
      <c r="I58" s="3"/>
    </row>
  </sheetData>
  <sheetProtection sheet="1" objects="1" scenarios="1"/>
  <mergeCells count="4">
    <mergeCell ref="I3:O3"/>
    <mergeCell ref="A3:G3"/>
    <mergeCell ref="B41:D41"/>
    <mergeCell ref="B24:E24"/>
  </mergeCells>
  <phoneticPr fontId="2" type="noConversion"/>
  <conditionalFormatting sqref="C39 C29">
    <cfRule type="expression" dxfId="28" priority="28">
      <formula>IF($E$6="ARM",1,0)</formula>
    </cfRule>
  </conditionalFormatting>
  <conditionalFormatting sqref="E16">
    <cfRule type="expression" dxfId="27" priority="27">
      <formula>IF($E$15="Yes",1,0)</formula>
    </cfRule>
  </conditionalFormatting>
  <conditionalFormatting sqref="E19">
    <cfRule type="expression" dxfId="26" priority="25">
      <formula>IF($E$15="No",1,0)</formula>
    </cfRule>
  </conditionalFormatting>
  <conditionalFormatting sqref="E7">
    <cfRule type="expression" dxfId="25" priority="24">
      <formula>IF($E$6="ARM",0,1)</formula>
    </cfRule>
  </conditionalFormatting>
  <conditionalFormatting sqref="E20">
    <cfRule type="expression" dxfId="24" priority="23">
      <formula>IF($E$15="No",1,0)</formula>
    </cfRule>
  </conditionalFormatting>
  <conditionalFormatting sqref="E18">
    <cfRule type="expression" dxfId="23" priority="22">
      <formula>IF(AND($E$6="ARM",$E$15="No"),1,0)</formula>
    </cfRule>
  </conditionalFormatting>
  <conditionalFormatting sqref="E26">
    <cfRule type="expression" dxfId="22" priority="19">
      <formula>IF(AND(infotype=3,NOT(JulyRules)),1,0)</formula>
    </cfRule>
  </conditionalFormatting>
  <conditionalFormatting sqref="E26">
    <cfRule type="expression" dxfId="21" priority="14">
      <formula>IF(infotype=1,1,0)</formula>
    </cfRule>
  </conditionalFormatting>
  <conditionalFormatting sqref="E30:E38">
    <cfRule type="expression" dxfId="20" priority="13">
      <formula>IF(infotype=3,1,0)</formula>
    </cfRule>
  </conditionalFormatting>
  <conditionalFormatting sqref="E29">
    <cfRule type="expression" dxfId="19" priority="12">
      <formula>IF(infotype=3,1,0)</formula>
    </cfRule>
  </conditionalFormatting>
  <conditionalFormatting sqref="B27">
    <cfRule type="expression" dxfId="18" priority="10">
      <formula>IF(infotype=2,1,0)</formula>
    </cfRule>
  </conditionalFormatting>
  <conditionalFormatting sqref="B26">
    <cfRule type="expression" dxfId="17" priority="5">
      <formula>IF(AND(infotype=1,$N$11="Other"),1,0)</formula>
    </cfRule>
    <cfRule type="expression" dxfId="16" priority="6">
      <formula>IF(infotype=1,1,0)</formula>
    </cfRule>
  </conditionalFormatting>
  <conditionalFormatting sqref="E27">
    <cfRule type="expression" dxfId="15" priority="3">
      <formula>IF(infotype=2,1,0)</formula>
    </cfRule>
    <cfRule type="expression" dxfId="14" priority="4">
      <formula>IF(infotype=1,1,0)</formula>
    </cfRule>
  </conditionalFormatting>
  <conditionalFormatting sqref="E17">
    <cfRule type="expression" dxfId="13" priority="2">
      <formula>IF($E$15="No",1,0)</formula>
    </cfRule>
  </conditionalFormatting>
  <conditionalFormatting sqref="E47">
    <cfRule type="expression" dxfId="12" priority="1">
      <formula>IF($E$46&gt;0,0,1)</formula>
    </cfRule>
  </conditionalFormatting>
  <dataValidations disablePrompts="1" count="6">
    <dataValidation type="list" allowBlank="1" showInputMessage="1" showErrorMessage="1" sqref="E15:E16">
      <formula1>"Yes, No"</formula1>
    </dataValidation>
    <dataValidation type="list" allowBlank="1" showInputMessage="1" showErrorMessage="1" sqref="E25">
      <formula1>"Capitalized UPB, UPB at Default, Only Default Date"</formula1>
    </dataValidation>
    <dataValidation allowBlank="1" showErrorMessage="1" promptTitle="Default Date" prompt="Enter the date of the first missed payment." sqref="B28"/>
    <dataValidation type="date" allowBlank="1" showErrorMessage="1" errorTitle="Improper Date" error="Default Date cell must contain a valid date after the first payment is due, but before today." promptTitle="Default Date" prompt="Enter the date of default" sqref="E28">
      <formula1>E11</formula1>
      <formula2>E29</formula2>
    </dataValidation>
    <dataValidation allowBlank="1" showInputMessage="1" showErrorMessage="1" promptTitle="Monthly P&amp;I" prompt="Enter the amount of monthly principal and interest currently due on the loan - not the initial amount or amount that borrower last paid." sqref="E7"/>
    <dataValidation type="list" allowBlank="1" showInputMessage="1" showErrorMessage="1" sqref="E6">
      <formula1>"Fixed Rate, ARM"</formula1>
    </dataValidation>
  </dataValidations>
  <pageMargins left="0.25" right="0.25" top="0.75" bottom="0.75" header="0.3" footer="0.3"/>
  <pageSetup scale="82" orientation="portrait" r:id="rId1"/>
  <headerFooter alignWithMargins="0">
    <oddHeader xml:space="preserve">&amp;L&amp;"Arial,Bold"&amp;14&amp;F
&amp;"Arial,Regular"&amp;10Run on: &amp;D&amp;"Arial,Bold"&amp;14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rgb="FFCCFFCC"/>
    <pageSetUpPr autoPageBreaks="0"/>
  </sheetPr>
  <dimension ref="A1:Y75"/>
  <sheetViews>
    <sheetView showGridLines="0" zoomScaleNormal="100" workbookViewId="0">
      <selection activeCell="L10" sqref="L10"/>
    </sheetView>
  </sheetViews>
  <sheetFormatPr defaultColWidth="8.85546875" defaultRowHeight="12.75"/>
  <cols>
    <col min="1" max="1" width="3" customWidth="1"/>
    <col min="2" max="2" width="2.85546875" customWidth="1"/>
    <col min="3" max="3" width="11.140625" customWidth="1"/>
    <col min="4" max="4" width="21.85546875" customWidth="1"/>
    <col min="5" max="5" width="20.85546875" customWidth="1"/>
    <col min="6" max="6" width="15.42578125" customWidth="1"/>
    <col min="7" max="7" width="3.42578125" customWidth="1"/>
    <col min="8" max="8" width="4.42578125" customWidth="1"/>
    <col min="9" max="9" width="3.140625" customWidth="1"/>
    <col min="10" max="10" width="3.28515625" customWidth="1"/>
    <col min="11" max="11" width="11.28515625" customWidth="1"/>
    <col min="12" max="12" width="16" customWidth="1"/>
    <col min="13" max="13" width="18.42578125" customWidth="1"/>
    <col min="14" max="14" width="15.42578125" customWidth="1"/>
    <col min="15" max="15" width="9.42578125" customWidth="1"/>
    <col min="17" max="18" width="12.28515625" bestFit="1" customWidth="1"/>
  </cols>
  <sheetData>
    <row r="1" spans="1:25" ht="21" customHeight="1">
      <c r="A1" s="50"/>
      <c r="B1" s="51"/>
      <c r="C1" s="51"/>
      <c r="D1" s="51"/>
      <c r="E1" s="51"/>
      <c r="F1" s="51"/>
      <c r="G1" s="51"/>
      <c r="H1" s="161" t="s">
        <v>18</v>
      </c>
      <c r="I1" s="51"/>
      <c r="J1" s="51"/>
      <c r="K1" s="51"/>
      <c r="L1" s="51"/>
      <c r="M1" s="51"/>
      <c r="N1" s="51"/>
      <c r="O1" s="52"/>
      <c r="Q1" s="3"/>
      <c r="R1" s="3"/>
      <c r="S1" s="3"/>
      <c r="T1" s="3"/>
      <c r="U1" s="3"/>
      <c r="V1" s="3"/>
      <c r="W1" s="3"/>
      <c r="X1" s="3"/>
      <c r="Y1" s="3"/>
    </row>
    <row r="2" spans="1:25" ht="15" customHeight="1">
      <c r="A2" s="10"/>
      <c r="B2" s="25" t="s">
        <v>16</v>
      </c>
      <c r="C2" s="25" t="s">
        <v>17</v>
      </c>
      <c r="D2" s="5"/>
      <c r="E2" s="1"/>
      <c r="F2" s="1"/>
      <c r="G2" s="1"/>
      <c r="H2" s="7"/>
      <c r="I2" s="1"/>
      <c r="J2" s="1"/>
      <c r="K2" s="1"/>
      <c r="L2" s="1"/>
      <c r="M2" s="1"/>
      <c r="N2" s="1"/>
      <c r="O2" s="6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>
      <c r="A3" s="213" t="s">
        <v>108</v>
      </c>
      <c r="B3" s="214"/>
      <c r="C3" s="214"/>
      <c r="D3" s="214"/>
      <c r="E3" s="214"/>
      <c r="F3" s="214"/>
      <c r="G3" s="214"/>
      <c r="H3" s="7"/>
      <c r="I3" s="1"/>
      <c r="J3" s="1"/>
      <c r="K3" s="1"/>
      <c r="L3" s="1"/>
      <c r="M3" s="1"/>
      <c r="N3" s="1"/>
      <c r="O3" s="9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>
      <c r="A4" s="121"/>
      <c r="B4" s="120"/>
      <c r="C4" s="120"/>
      <c r="D4" s="120"/>
      <c r="E4" s="120"/>
      <c r="F4" s="120"/>
      <c r="G4" s="120"/>
      <c r="H4" s="7"/>
      <c r="I4" s="1"/>
      <c r="J4" s="1"/>
      <c r="K4" s="1"/>
      <c r="L4" s="1"/>
      <c r="M4" s="1"/>
      <c r="N4" s="1"/>
      <c r="O4" s="9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>
      <c r="A5" s="10"/>
      <c r="B5" s="156" t="s">
        <v>69</v>
      </c>
      <c r="C5" s="28"/>
      <c r="D5" s="1"/>
      <c r="E5" s="1"/>
      <c r="F5" s="28"/>
      <c r="G5" s="1"/>
      <c r="H5" s="7"/>
      <c r="I5" s="1"/>
      <c r="J5" s="60" t="str">
        <f ca="1">IF(StepSix,"Calculate Maximum Partial Claim","")</f>
        <v>Calculate Maximum Partial Claim</v>
      </c>
      <c r="K5" s="1"/>
      <c r="L5" s="1"/>
      <c r="M5" s="1"/>
      <c r="N5" s="1"/>
      <c r="O5" s="9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>
      <c r="A6" s="10"/>
      <c r="B6" s="1" t="s">
        <v>66</v>
      </c>
      <c r="C6" s="1"/>
      <c r="D6" s="1"/>
      <c r="E6" s="1"/>
      <c r="F6" s="47">
        <f ca="1">'Other Inputs'!M17</f>
        <v>581.89838604532179</v>
      </c>
      <c r="G6" s="1"/>
      <c r="H6" s="7"/>
      <c r="I6" s="1"/>
      <c r="J6" s="1"/>
      <c r="K6" s="1" t="str">
        <f ca="1">IF(StepSix,"1. 30% UPB at Default","")</f>
        <v>1. 30% UPB at Default</v>
      </c>
      <c r="L6" s="1"/>
      <c r="M6" s="1"/>
      <c r="N6" s="53">
        <f>IF('Other Inputs'!E46&gt;0,'Other Inputs'!E47*0.3,DUPB*0.3)</f>
        <v>114535.27905500917</v>
      </c>
      <c r="O6" s="9"/>
      <c r="Q6" s="3"/>
      <c r="R6" s="3"/>
      <c r="S6" s="3"/>
      <c r="T6" s="3"/>
      <c r="U6" s="3"/>
      <c r="V6" s="3"/>
      <c r="W6" s="3"/>
      <c r="X6" s="3"/>
      <c r="Y6" s="3"/>
    </row>
    <row r="7" spans="1:25" ht="15" customHeight="1" thickBot="1">
      <c r="A7" s="10"/>
      <c r="B7" s="1" t="s">
        <v>67</v>
      </c>
      <c r="C7" s="1"/>
      <c r="D7" s="28"/>
      <c r="E7" s="1"/>
      <c r="F7" s="90">
        <f>'Other Inputs'!M9*0.15</f>
        <v>815.96421358629118</v>
      </c>
      <c r="G7" s="1"/>
      <c r="H7" s="7"/>
      <c r="I7" s="1"/>
      <c r="J7" s="2"/>
      <c r="K7" s="1" t="str">
        <f ca="1">IF(StepSix,"2. Less previous partial claims","")</f>
        <v>2. Less previous partial claims</v>
      </c>
      <c r="L7" s="1"/>
      <c r="M7" s="1"/>
      <c r="N7" s="113">
        <f>'Other Inputs'!E46</f>
        <v>0</v>
      </c>
      <c r="O7" s="9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 thickBot="1">
      <c r="A8" s="10"/>
      <c r="B8" s="2" t="s">
        <v>68</v>
      </c>
      <c r="C8" s="1"/>
      <c r="D8" s="28"/>
      <c r="E8" s="1"/>
      <c r="F8" s="91" t="str">
        <f ca="1">IF(AND('Other Inputs'!M17&gt;300, 'Other Inputs'!M17&gt;'Other Inputs'!M9*0.15), "Yes", "No")</f>
        <v>No</v>
      </c>
      <c r="G8" s="1"/>
      <c r="H8" s="7"/>
      <c r="I8" s="1"/>
      <c r="J8" s="2" t="str">
        <f ca="1">IF(StepSix,"Maximum Partial Claim","")</f>
        <v>Maximum Partial Claim</v>
      </c>
      <c r="K8" s="1"/>
      <c r="L8" s="1"/>
      <c r="M8" s="1"/>
      <c r="N8" s="114">
        <f>IF(N7&gt;N6,0,N6-N7)</f>
        <v>114535.27905500917</v>
      </c>
      <c r="O8" s="9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>
      <c r="A9" s="10"/>
      <c r="B9" s="26"/>
      <c r="C9" s="21" t="str">
        <f ca="1">IF(F8="YES","Continue ","Skip to FHA-HAMP")</f>
        <v>Skip to FHA-HAMP</v>
      </c>
      <c r="D9" s="28"/>
      <c r="E9" s="1"/>
      <c r="F9" s="1"/>
      <c r="G9" s="1"/>
      <c r="H9" s="7"/>
      <c r="I9" s="1"/>
      <c r="J9" s="1"/>
      <c r="L9" s="1"/>
      <c r="M9" s="1"/>
      <c r="N9" s="11"/>
      <c r="O9" s="9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10"/>
      <c r="B10" s="26"/>
      <c r="C10" s="12"/>
      <c r="D10" s="28"/>
      <c r="E10" s="1"/>
      <c r="F10" s="1"/>
      <c r="G10" s="1"/>
      <c r="H10" s="7"/>
      <c r="I10" s="1"/>
      <c r="J10" s="60" t="str">
        <f ca="1">IF(StepSix,"Stand-Alone Partial Claim Analysis","")</f>
        <v>Stand-Alone Partial Claim Analysis</v>
      </c>
      <c r="K10" s="21"/>
      <c r="L10" s="1"/>
      <c r="M10" s="1"/>
      <c r="N10" s="11"/>
      <c r="O10" s="9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10"/>
      <c r="B11" s="60" t="str">
        <f ca="1">IF(StepFour,"Is 85% surplus income sufficient to cure arrears in 6 months?","")</f>
        <v/>
      </c>
      <c r="C11" s="1"/>
      <c r="D11" s="28"/>
      <c r="E11" s="1"/>
      <c r="F11" s="1"/>
      <c r="G11" s="1"/>
      <c r="H11" s="7"/>
      <c r="I11" s="1"/>
      <c r="J11" s="12" t="str">
        <f ca="1">IF(StepSix,"All three of the following must be true","")</f>
        <v>All three of the following must be true</v>
      </c>
      <c r="K11" s="1"/>
      <c r="L11" s="1"/>
      <c r="M11" s="1"/>
      <c r="N11" s="11"/>
      <c r="O11" s="9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10"/>
      <c r="B12" s="29" t="str">
        <f ca="1">IF(StepFour,"Arrears, fees, &amp; costs","")</f>
        <v/>
      </c>
      <c r="C12" s="1"/>
      <c r="D12" s="1"/>
      <c r="E12" s="1"/>
      <c r="F12" s="94">
        <f ca="1">'Other Inputs'!E38</f>
        <v>78361.259741851565</v>
      </c>
      <c r="G12" s="1"/>
      <c r="H12" s="7"/>
      <c r="I12" s="1"/>
      <c r="J12" s="2"/>
      <c r="K12" s="28" t="str">
        <f ca="1">IF(StepSix,"Is interest rate at or below market?","")</f>
        <v>Is interest rate at or below market?</v>
      </c>
      <c r="L12" s="1"/>
      <c r="M12" s="1"/>
      <c r="N12" s="81" t="str">
        <f>IF(rate&lt;=Market,"Yes","No")</f>
        <v>No</v>
      </c>
      <c r="O12" s="9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10"/>
      <c r="B13" s="46" t="str">
        <f ca="1">IF(StepFour,"85% of surplus income","")</f>
        <v/>
      </c>
      <c r="C13" s="28"/>
      <c r="D13" s="28"/>
      <c r="E13" s="1"/>
      <c r="F13" s="93">
        <f ca="1">'Other Inputs'!M17*0.85</f>
        <v>494.6136281385235</v>
      </c>
      <c r="G13" s="1"/>
      <c r="H13" s="7"/>
      <c r="I13" s="1"/>
      <c r="J13" s="2"/>
      <c r="K13" s="28" t="str">
        <f ca="1">IF(StepSix,"Is PITIA payment at or below target?","")</f>
        <v>Is PITIA payment at or below target?</v>
      </c>
      <c r="L13" s="1"/>
      <c r="M13" s="1"/>
      <c r="N13" s="81" t="str">
        <f ca="1">IF('Other Inputs'!E22&lt;=F39,"Yes","No")</f>
        <v>No</v>
      </c>
      <c r="O13" s="9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 thickBot="1">
      <c r="A14" s="10"/>
      <c r="B14" s="26" t="str">
        <f ca="1">IF(StepFour,"Months to cure arrears w/ of 85% surplus income","")</f>
        <v/>
      </c>
      <c r="C14" s="28"/>
      <c r="D14" s="28"/>
      <c r="E14" s="1"/>
      <c r="F14" s="110">
        <f ca="1">ROUNDUP(F12/F13, 0)</f>
        <v>159</v>
      </c>
      <c r="G14" s="1"/>
      <c r="H14" s="7"/>
      <c r="I14" s="1"/>
      <c r="J14" s="2"/>
      <c r="K14" s="28" t="str">
        <f ca="1">IF(StepSix,"Does Max PC exceed Missed Payments + Fees?","")</f>
        <v>Does Max PC exceed Missed Payments + Fees?</v>
      </c>
      <c r="L14" s="1"/>
      <c r="M14" s="1"/>
      <c r="N14" s="86" t="str">
        <f ca="1">IF(N8&gt;('Other Inputs'!E30*'Other Inputs'!E22),"Yes","No")</f>
        <v>Yes</v>
      </c>
      <c r="O14" s="9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 thickBot="1">
      <c r="A15" s="10"/>
      <c r="B15" s="15" t="str">
        <f ca="1">IF(StepFour,"Result","")</f>
        <v/>
      </c>
      <c r="C15" s="28"/>
      <c r="D15" s="28"/>
      <c r="E15" s="1"/>
      <c r="F15" s="111" t="str">
        <f ca="1">IF(F14&lt;=6, "Yes", "No")</f>
        <v>No</v>
      </c>
      <c r="G15" s="1"/>
      <c r="H15" s="7"/>
      <c r="I15" s="1"/>
      <c r="J15" s="2" t="str">
        <f ca="1">IF(StepSix,"Result","")</f>
        <v>Result</v>
      </c>
      <c r="K15" s="28"/>
      <c r="L15" s="1"/>
      <c r="M15" s="1"/>
      <c r="N15" s="87" t="str">
        <f ca="1">IF(AND(N12="Yes",N13="Yes",N14="Yes"),"Yes","No")</f>
        <v>No</v>
      </c>
      <c r="O15" s="9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10"/>
      <c r="B16" s="15"/>
      <c r="C16" s="21" t="str">
        <f ca="1">IF(StepFour,IF(F15="NO", "Continue", "STOP, borrower eligibile for formal forbearance / repayment plan for 6 months"),"")</f>
        <v/>
      </c>
      <c r="D16" s="28"/>
      <c r="E16" s="1"/>
      <c r="F16" s="1"/>
      <c r="G16" s="1"/>
      <c r="H16" s="7"/>
      <c r="I16" s="1"/>
      <c r="J16" s="2"/>
      <c r="K16" s="21" t="str">
        <f ca="1">IF(StepSix,IF(N15="No","Continue to Modification with Partial Claim","Stand-Alone Partial Claim"),"")</f>
        <v>Continue to Modification with Partial Claim</v>
      </c>
      <c r="L16" s="1"/>
      <c r="M16" s="1"/>
      <c r="N16" s="83"/>
      <c r="O16" s="9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10"/>
      <c r="B17" s="1"/>
      <c r="C17" s="1"/>
      <c r="D17" s="1"/>
      <c r="E17" s="1"/>
      <c r="F17" s="1"/>
      <c r="G17" s="1"/>
      <c r="H17" s="7"/>
      <c r="I17" s="1"/>
      <c r="J17" s="2"/>
      <c r="K17" s="134"/>
      <c r="L17" s="1"/>
      <c r="M17" s="1"/>
      <c r="N17" s="1"/>
      <c r="O17" s="9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213" t="str">
        <f ca="1">IF(StepFive,"LOAN MODIFICATION","")</f>
        <v/>
      </c>
      <c r="B18" s="214"/>
      <c r="C18" s="214"/>
      <c r="D18" s="214"/>
      <c r="E18" s="214"/>
      <c r="F18" s="214"/>
      <c r="G18" s="160"/>
      <c r="H18" s="7"/>
      <c r="I18" s="1"/>
      <c r="J18" s="60" t="str">
        <f ca="1">IF(DSAHM,"Stand-Alone FHA HAMP Modification Analysis","")</f>
        <v>Stand-Alone FHA HAMP Modification Analysis</v>
      </c>
      <c r="K18" s="1"/>
      <c r="L18" s="1"/>
      <c r="M18" s="1"/>
      <c r="N18" s="1"/>
      <c r="O18" s="9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10"/>
      <c r="B19" s="1"/>
      <c r="C19" s="1"/>
      <c r="D19" s="1"/>
      <c r="E19" s="1"/>
      <c r="F19" s="1"/>
      <c r="G19" s="1"/>
      <c r="H19" s="7"/>
      <c r="I19" s="10"/>
      <c r="J19" s="12" t="str">
        <f ca="1">IF(DSAHM,"Will modification result in PITIA at or below target?","")</f>
        <v>Will modification result in PITIA at or below target?</v>
      </c>
      <c r="K19" s="1"/>
      <c r="L19" s="1"/>
      <c r="M19" s="1"/>
      <c r="N19" s="1"/>
      <c r="O19" s="9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10"/>
      <c r="B20" s="60" t="str">
        <f ca="1">IF(StepFive,"Will modification reduce PITIA by more than 10% AND $100?","")</f>
        <v/>
      </c>
      <c r="C20" s="1"/>
      <c r="D20" s="1"/>
      <c r="E20" s="1"/>
      <c r="F20" s="1"/>
      <c r="G20" s="1"/>
      <c r="H20" s="7"/>
      <c r="I20" s="10"/>
      <c r="J20" s="12"/>
      <c r="K20" s="28" t="str">
        <f ca="1">IF(DSAHM,"Target payment","")</f>
        <v>Target payment</v>
      </c>
      <c r="L20" s="1"/>
      <c r="M20" s="1"/>
      <c r="N20" s="113">
        <f ca="1">Target</f>
        <v>1767.9049887800895</v>
      </c>
      <c r="O20" s="9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 thickBot="1">
      <c r="A21" s="10"/>
      <c r="B21" s="1" t="str">
        <f ca="1">IF(StepFive,"Current PITIA","")</f>
        <v/>
      </c>
      <c r="C21" s="1"/>
      <c r="D21" s="1"/>
      <c r="E21" s="1"/>
      <c r="F21" s="45">
        <f ca="1">'Other Inputs'!E22</f>
        <v>3820.1830378632862</v>
      </c>
      <c r="G21" s="1"/>
      <c r="H21" s="7"/>
      <c r="I21" s="10"/>
      <c r="J21" s="2"/>
      <c r="K21" s="28" t="str">
        <f ca="1">IF(DSAHM,"Modification Payment","")</f>
        <v>Modification Payment</v>
      </c>
      <c r="L21" s="1"/>
      <c r="M21" s="1"/>
      <c r="N21" s="82">
        <f ca="1">-PMT(Market/12,360,CAPUPB)+TIA</f>
        <v>2798.4976795200173</v>
      </c>
      <c r="O21" s="9"/>
      <c r="P21" s="3"/>
      <c r="Q21" s="3"/>
      <c r="R21" s="3"/>
      <c r="S21" s="3"/>
      <c r="T21" s="3"/>
      <c r="U21" s="3"/>
      <c r="V21" s="3"/>
      <c r="W21" s="3"/>
      <c r="X21" s="3"/>
    </row>
    <row r="22" spans="1:25" ht="15" customHeight="1" thickBot="1">
      <c r="A22" s="10"/>
      <c r="B22" s="1" t="str">
        <f ca="1">IF(StepFive,"Market rate","")</f>
        <v/>
      </c>
      <c r="C22" s="1"/>
      <c r="D22" s="1"/>
      <c r="E22" s="1"/>
      <c r="F22" s="48">
        <f>Market</f>
        <v>0.04</v>
      </c>
      <c r="G22" s="1"/>
      <c r="H22" s="7"/>
      <c r="I22" s="10"/>
      <c r="J22" s="2" t="str">
        <f ca="1">IF(DSAHM,"Result","")</f>
        <v>Result</v>
      </c>
      <c r="K22" s="1"/>
      <c r="L22" s="1"/>
      <c r="M22" s="1"/>
      <c r="N22" s="85" t="str">
        <f ca="1">IF(N21&gt;N20,"No","Yes")</f>
        <v>No</v>
      </c>
      <c r="O22" s="9"/>
      <c r="P22" s="3"/>
      <c r="Q22" s="3"/>
      <c r="R22" s="3"/>
      <c r="S22" s="3"/>
      <c r="T22" s="3"/>
      <c r="U22" s="3"/>
      <c r="V22" s="3"/>
      <c r="W22" s="3"/>
      <c r="X22" s="3"/>
    </row>
    <row r="23" spans="1:25" ht="15" customHeight="1">
      <c r="A23" s="10"/>
      <c r="B23" s="5" t="str">
        <f ca="1">IF(StepFive,"Capitalized UPB","")</f>
        <v/>
      </c>
      <c r="C23" s="1"/>
      <c r="D23" s="1"/>
      <c r="E23" s="1"/>
      <c r="F23" s="72">
        <f ca="1">DUPB+'Other Inputs'!E38</f>
        <v>460145.52325854881</v>
      </c>
      <c r="G23" s="1"/>
      <c r="H23" s="7"/>
      <c r="I23" s="10"/>
      <c r="J23" s="2"/>
      <c r="K23" s="21" t="str">
        <f ca="1">IF(DSAHM,IF(N22="No","Continue to Modification with Partial Claim",""),"")</f>
        <v>Continue to Modification with Partial Claim</v>
      </c>
      <c r="L23" s="1"/>
      <c r="M23" s="1"/>
      <c r="N23" s="84"/>
      <c r="O23" s="9"/>
      <c r="P23" s="3"/>
      <c r="Q23" s="3"/>
      <c r="R23" s="3"/>
      <c r="S23" s="3"/>
      <c r="T23" s="3"/>
      <c r="U23" s="3"/>
      <c r="V23" s="3"/>
      <c r="W23" s="3"/>
      <c r="X23" s="3"/>
    </row>
    <row r="24" spans="1:25" ht="15" customHeight="1">
      <c r="A24" s="10"/>
      <c r="B24" s="1" t="str">
        <f ca="1">IF(StepFive,"PITIA at market rate, 30 yr term, &amp; capitalized UPB","")</f>
        <v/>
      </c>
      <c r="C24" s="1"/>
      <c r="D24" s="1"/>
      <c r="E24" s="1"/>
      <c r="F24" s="92">
        <f ca="1">-PMT(F22/12, 360, F23)+TIA</f>
        <v>2798.4976795200173</v>
      </c>
      <c r="G24" s="1"/>
      <c r="H24" s="7"/>
      <c r="I24" s="1"/>
      <c r="J24" s="1"/>
      <c r="K24" s="1"/>
      <c r="L24" s="1"/>
      <c r="M24" s="1"/>
      <c r="N24" s="1"/>
      <c r="O24" s="9"/>
      <c r="P24" s="3"/>
      <c r="Q24" s="3"/>
      <c r="R24" s="3"/>
      <c r="S24" s="3"/>
      <c r="T24" s="3"/>
      <c r="U24" s="3"/>
      <c r="V24" s="3"/>
      <c r="W24" s="3"/>
      <c r="X24" s="3"/>
    </row>
    <row r="25" spans="1:25" ht="15" customHeight="1">
      <c r="A25" s="10"/>
      <c r="B25" s="46" t="str">
        <f ca="1">IF(StepFive,"Percent reduction","")</f>
        <v/>
      </c>
      <c r="C25" s="1"/>
      <c r="D25" s="1"/>
      <c r="E25" s="1"/>
      <c r="F25" s="49">
        <f ca="1">(F21-F24)/F21</f>
        <v>0.26744408532705294</v>
      </c>
      <c r="G25" s="1"/>
      <c r="H25" s="7"/>
      <c r="I25" s="1"/>
      <c r="J25" s="60" t="str">
        <f ca="1">IF(DMPC,"Modification with Partial Claim","")</f>
        <v>Modification with Partial Claim</v>
      </c>
      <c r="K25" s="1"/>
      <c r="L25" s="1"/>
      <c r="M25" s="1"/>
      <c r="N25" s="1"/>
      <c r="O25" s="9"/>
      <c r="P25" s="3"/>
      <c r="Q25" s="151"/>
      <c r="R25" s="3"/>
      <c r="S25" s="3"/>
      <c r="T25" s="3"/>
      <c r="U25" s="3"/>
      <c r="V25" s="3"/>
      <c r="W25" s="3"/>
      <c r="X25" s="3"/>
    </row>
    <row r="26" spans="1:25" ht="15" customHeight="1" thickBot="1">
      <c r="A26" s="10"/>
      <c r="B26" s="26" t="str">
        <f ca="1">IF(StepFive,"Amount of reduction","")</f>
        <v/>
      </c>
      <c r="C26" s="1"/>
      <c r="D26" s="1"/>
      <c r="E26" s="1"/>
      <c r="F26" s="112">
        <f ca="1">F21-F24</f>
        <v>1021.6853583432689</v>
      </c>
      <c r="G26" s="1"/>
      <c r="H26" s="7"/>
      <c r="I26" s="1"/>
      <c r="J26" s="12" t="str">
        <f ca="1">IF(DMPC,"Is enough Partial Claim available to achieve target?","")</f>
        <v>Is enough Partial Claim available to achieve target?</v>
      </c>
      <c r="K26" s="1"/>
      <c r="L26" s="1"/>
      <c r="M26" s="1"/>
      <c r="N26" s="1"/>
      <c r="O26" s="9"/>
      <c r="P26" s="3"/>
      <c r="Q26" s="151"/>
      <c r="R26" s="3"/>
      <c r="S26" s="3"/>
      <c r="T26" s="3"/>
      <c r="U26" s="3"/>
      <c r="V26" s="3"/>
      <c r="W26" s="3"/>
      <c r="X26" s="3"/>
    </row>
    <row r="27" spans="1:25" ht="15" customHeight="1" thickBot="1">
      <c r="A27" s="10"/>
      <c r="B27" s="15" t="str">
        <f ca="1">IF(StepFive,"Result","")</f>
        <v/>
      </c>
      <c r="C27" s="2"/>
      <c r="D27" s="2"/>
      <c r="E27" s="1"/>
      <c r="F27" s="111" t="str">
        <f ca="1">IF(AND(F25&gt;0.1, F26&gt;100), "Yes", "No")</f>
        <v>Yes</v>
      </c>
      <c r="G27" s="1"/>
      <c r="H27" s="7"/>
      <c r="I27" s="1"/>
      <c r="J27" s="8"/>
      <c r="K27" s="56" t="str">
        <f ca="1">IF(DMPC,"Partial Claim required to reach target payment","")</f>
        <v>Partial Claim required to reach target payment</v>
      </c>
      <c r="L27" s="1"/>
      <c r="M27" s="4"/>
      <c r="N27" s="54">
        <f ca="1">CAPUPB+PV(Market/12,360,Target-TIA)</f>
        <v>215869.22340541234</v>
      </c>
      <c r="O27" s="9"/>
      <c r="P27" s="3"/>
      <c r="Q27" s="155"/>
      <c r="R27" s="3"/>
      <c r="S27" s="3"/>
      <c r="T27" s="3"/>
      <c r="U27" s="3"/>
      <c r="V27" s="3"/>
      <c r="W27" s="3"/>
      <c r="X27" s="3"/>
    </row>
    <row r="28" spans="1:25" ht="15" customHeight="1" thickBot="1">
      <c r="A28" s="10"/>
      <c r="B28" s="29"/>
      <c r="C28" s="21" t="str">
        <f ca="1">IF(StepFive,IF(F27="NO","Continue to FHA-HAMP","STOP, borrower eligibile for modification. See next sheet for terms."),"")</f>
        <v/>
      </c>
      <c r="D28" s="1"/>
      <c r="E28" s="1"/>
      <c r="F28" s="1"/>
      <c r="G28" s="1"/>
      <c r="H28" s="7"/>
      <c r="I28" s="1"/>
      <c r="J28" s="12"/>
      <c r="K28" s="55" t="str">
        <f ca="1">IF(DMPC,"Maximum Partial Claim","")</f>
        <v>Maximum Partial Claim</v>
      </c>
      <c r="L28" s="1"/>
      <c r="M28" s="1"/>
      <c r="N28" s="152">
        <f>N8</f>
        <v>114535.27905500917</v>
      </c>
      <c r="O28" s="9"/>
      <c r="Q28" s="151"/>
      <c r="R28" s="3"/>
      <c r="S28" s="3"/>
      <c r="T28" s="3"/>
      <c r="U28" s="3"/>
      <c r="V28" s="3"/>
      <c r="W28" s="3"/>
      <c r="X28" s="3"/>
      <c r="Y28" s="3"/>
    </row>
    <row r="29" spans="1:25" ht="15" customHeight="1" thickBot="1">
      <c r="A29" s="10"/>
      <c r="B29" s="29"/>
      <c r="C29" s="1"/>
      <c r="D29" s="1"/>
      <c r="E29" s="1"/>
      <c r="F29" s="1"/>
      <c r="G29" s="1"/>
      <c r="H29" s="7"/>
      <c r="I29" s="1"/>
      <c r="J29" s="15" t="str">
        <f ca="1">IF(DMPC,"Result","")</f>
        <v>Result</v>
      </c>
      <c r="K29" s="1"/>
      <c r="L29" s="1"/>
      <c r="M29" s="1"/>
      <c r="N29" s="57" t="str">
        <f ca="1">IF(N28&gt;=N27,"Yes","No")</f>
        <v>No</v>
      </c>
      <c r="O29" s="9"/>
      <c r="P29" s="3"/>
      <c r="Q29" s="3"/>
      <c r="R29" s="155"/>
      <c r="S29" s="3"/>
      <c r="T29" s="3"/>
      <c r="U29" s="3"/>
      <c r="V29" s="3"/>
      <c r="W29" s="3"/>
      <c r="X29" s="3"/>
      <c r="Y29" s="3"/>
    </row>
    <row r="30" spans="1:25" ht="15" customHeight="1">
      <c r="A30" s="213" t="str">
        <f ca="1">IF(StepSix,"FHA-HAMP","")</f>
        <v>FHA-HAMP</v>
      </c>
      <c r="B30" s="214"/>
      <c r="C30" s="214"/>
      <c r="D30" s="214"/>
      <c r="E30" s="214"/>
      <c r="F30" s="214"/>
      <c r="G30" s="215"/>
      <c r="H30" s="7"/>
      <c r="I30" s="1"/>
      <c r="J30" s="15"/>
      <c r="K30" s="1"/>
      <c r="L30" s="1"/>
      <c r="M30" s="1"/>
      <c r="N30" s="1"/>
      <c r="O30" s="9"/>
      <c r="P30" s="3"/>
      <c r="Q30" s="151"/>
      <c r="R30" s="3"/>
      <c r="S30" s="3"/>
      <c r="T30" s="3"/>
      <c r="U30" s="3"/>
      <c r="V30" s="3"/>
      <c r="W30" s="3"/>
      <c r="X30" s="3"/>
      <c r="Y30" s="3"/>
    </row>
    <row r="31" spans="1:25" ht="15" customHeight="1">
      <c r="A31" s="10"/>
      <c r="B31" s="15"/>
      <c r="C31" s="1"/>
      <c r="D31" s="1"/>
      <c r="E31" s="1"/>
      <c r="F31" s="1"/>
      <c r="G31" s="1"/>
      <c r="H31" s="16"/>
      <c r="I31" s="1"/>
      <c r="J31" s="60" t="str">
        <f ca="1">IF(DMWIP,"Modification with Payment Above Target","")</f>
        <v>Modification with Payment Above Target</v>
      </c>
      <c r="K31" s="1"/>
      <c r="L31" s="30"/>
      <c r="M31" s="30"/>
      <c r="N31" s="30"/>
      <c r="O31" s="9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>
      <c r="A32" s="10"/>
      <c r="B32" s="79" t="str">
        <f ca="1">IF(StepSix,"Calculate FHA HAMP Target Payment","")</f>
        <v>Calculate FHA HAMP Target Payment</v>
      </c>
      <c r="C32" s="1"/>
      <c r="D32" s="1"/>
      <c r="E32" s="1"/>
      <c r="F32" s="1"/>
      <c r="G32" s="1"/>
      <c r="H32" s="16"/>
      <c r="I32" s="1"/>
      <c r="J32" s="12" t="str">
        <f ca="1">IF(DMWIP,"Is payment at or below 40% DTI?","")</f>
        <v>Is payment at or below 40% DTI?</v>
      </c>
      <c r="K32" s="1"/>
      <c r="L32" s="1"/>
      <c r="M32" s="1"/>
      <c r="N32" s="1"/>
      <c r="O32" s="9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>
      <c r="A33" s="10"/>
      <c r="B33" s="1"/>
      <c r="C33" s="46" t="str">
        <f ca="1">IF(StepSix,"1. 31% of gross monthly income","")</f>
        <v>1. 31% of gross monthly income</v>
      </c>
      <c r="D33" s="1"/>
      <c r="E33" s="1"/>
      <c r="F33" s="53">
        <f>'Other Inputs'!M7*0.31</f>
        <v>1767.9049887800895</v>
      </c>
      <c r="G33" s="1"/>
      <c r="H33" s="7"/>
      <c r="I33" s="1"/>
      <c r="J33" s="2"/>
      <c r="K33" s="28" t="str">
        <f ca="1">IF(DMWIP,"Payment with maximum deferment","")</f>
        <v>Payment with maximum deferment</v>
      </c>
      <c r="L33" s="1"/>
      <c r="M33" s="1"/>
      <c r="N33" s="54">
        <f ca="1">-PMT(Market/12,360,CAPUPB-N28)+TIA</f>
        <v>2251.6887386073645</v>
      </c>
      <c r="O33" s="9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 thickBot="1">
      <c r="A34" s="10"/>
      <c r="B34" s="1"/>
      <c r="C34" s="46" t="str">
        <f ca="1">IF(StepSix,"2. 80% of current PITIA","")</f>
        <v>2. 80% of current PITIA</v>
      </c>
      <c r="D34" s="1"/>
      <c r="E34" s="1"/>
      <c r="F34" s="53">
        <f ca="1">'Other Inputs'!E22*0.8</f>
        <v>3056.1464302906293</v>
      </c>
      <c r="G34" s="1"/>
      <c r="H34" s="7"/>
      <c r="I34" s="1"/>
      <c r="J34" s="1"/>
      <c r="K34" s="28" t="str">
        <f ca="1">IF(DMWIP,"Debt to income ratio","")</f>
        <v>Debt to income ratio</v>
      </c>
      <c r="L34" s="1"/>
      <c r="M34" s="30"/>
      <c r="N34" s="154">
        <f ca="1">N33/GMI</f>
        <v>0.39483089498488338</v>
      </c>
      <c r="O34" s="9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 thickBot="1">
      <c r="A35" s="10"/>
      <c r="B35" s="1"/>
      <c r="C35" s="46" t="str">
        <f ca="1">IF(StepSix,"3. 25% of gross monthly income","")</f>
        <v>3. 25% of gross monthly income</v>
      </c>
      <c r="D35" s="1"/>
      <c r="E35" s="1"/>
      <c r="F35" s="53">
        <f>'Other Inputs'!M7*0.25</f>
        <v>1425.7298296613626</v>
      </c>
      <c r="G35" s="1"/>
      <c r="H35" s="7"/>
      <c r="I35" s="1"/>
      <c r="J35" s="2" t="str">
        <f ca="1">IF(DMWIP,"Result","")</f>
        <v>Result</v>
      </c>
      <c r="K35" s="1"/>
      <c r="L35" s="1"/>
      <c r="M35" s="1"/>
      <c r="N35" s="57" t="str">
        <f ca="1">IF(N34&gt;0.4,"No","Yes")</f>
        <v>Yes</v>
      </c>
      <c r="O35" s="9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>
      <c r="A36" s="10"/>
      <c r="B36" s="1"/>
      <c r="C36" s="26" t="str">
        <f ca="1">IF(StepSix,"4. Take greater of 2 &amp; 3","")</f>
        <v>4. Take greater of 2 &amp; 3</v>
      </c>
      <c r="D36" s="1"/>
      <c r="E36" s="1"/>
      <c r="F36" s="53">
        <f ca="1">IF(F34&gt;F35, F34, F35)</f>
        <v>3056.1464302906293</v>
      </c>
      <c r="G36" s="1"/>
      <c r="H36" s="7"/>
      <c r="I36" s="1"/>
      <c r="J36" s="1"/>
      <c r="K36" s="1"/>
      <c r="L36" s="1"/>
      <c r="M36" s="1"/>
      <c r="N36" s="1"/>
      <c r="O36" s="9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 customHeight="1">
      <c r="A37" s="10"/>
      <c r="B37" s="1"/>
      <c r="C37" s="26" t="str">
        <f ca="1">IF(StepSix,"5. Take lesser of 1 &amp; 4","")</f>
        <v>5. Take lesser of 1 &amp; 4</v>
      </c>
      <c r="D37" s="1"/>
      <c r="E37" s="1"/>
      <c r="F37" s="78">
        <f ca="1">IF(F33&lt;F36, F33, F36)</f>
        <v>1767.9049887800895</v>
      </c>
      <c r="G37" s="1"/>
      <c r="H37" s="7"/>
      <c r="I37" s="1"/>
      <c r="J37" s="1"/>
      <c r="K37" s="21" t="str">
        <f ca="1">IF(StepSix,IF(SUM('Data Validation'!B10:B13)=0, "Borrower ineligible for FHA-HAMP", "Borrower eligibile for FHA-HAMP modification."),"")</f>
        <v>Borrower eligibile for FHA-HAMP modification.</v>
      </c>
      <c r="L37" s="1"/>
      <c r="M37" s="1"/>
      <c r="N37" s="1"/>
      <c r="O37" s="9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 thickBot="1">
      <c r="A38" s="10"/>
      <c r="B38" s="26"/>
      <c r="C38" s="1"/>
      <c r="D38" s="1"/>
      <c r="E38" s="1"/>
      <c r="F38" s="88"/>
      <c r="G38" s="1"/>
      <c r="H38" s="7"/>
      <c r="I38" s="1"/>
      <c r="J38" s="1"/>
      <c r="K38" s="1"/>
      <c r="L38" s="1"/>
      <c r="M38" s="1"/>
      <c r="N38" s="1"/>
      <c r="O38" s="9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 thickBot="1">
      <c r="A39" s="10"/>
      <c r="B39" s="15" t="str">
        <f ca="1">IF(StepSix,"Target payment","")</f>
        <v>Target payment</v>
      </c>
      <c r="C39" s="1"/>
      <c r="D39" s="1"/>
      <c r="E39" s="1"/>
      <c r="F39" s="89">
        <f ca="1">F37</f>
        <v>1767.9049887800895</v>
      </c>
      <c r="G39" s="1"/>
      <c r="H39" s="7"/>
      <c r="I39" s="1"/>
      <c r="J39" s="1"/>
      <c r="K39" s="1"/>
      <c r="L39" s="1"/>
      <c r="M39" s="1"/>
      <c r="N39" s="1"/>
      <c r="O39" s="9"/>
      <c r="P39" s="3"/>
      <c r="Q39" s="23"/>
      <c r="R39" s="3"/>
      <c r="S39" s="3"/>
      <c r="T39" s="3"/>
      <c r="U39" s="3"/>
      <c r="V39" s="3"/>
      <c r="W39" s="3"/>
      <c r="X39" s="3"/>
      <c r="Y39" s="3"/>
    </row>
    <row r="40" spans="1:25" ht="15" customHeight="1">
      <c r="A40" s="10"/>
      <c r="B40" s="15"/>
      <c r="C40" s="1"/>
      <c r="D40" s="1"/>
      <c r="E40" s="1"/>
      <c r="F40" s="164"/>
      <c r="G40" s="1"/>
      <c r="H40" s="7"/>
      <c r="I40" s="1"/>
      <c r="J40" s="1"/>
      <c r="K40" s="1"/>
      <c r="L40" s="1"/>
      <c r="M40" s="1"/>
      <c r="N40" s="1"/>
      <c r="O40" s="9"/>
      <c r="P40" s="3"/>
      <c r="Q40" s="2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169" t="s">
        <v>113</v>
      </c>
      <c r="B41" s="137"/>
      <c r="C41" s="18"/>
      <c r="D41" s="18"/>
      <c r="E41" s="18"/>
      <c r="F41" s="18"/>
      <c r="G41" s="18"/>
      <c r="H41" s="19"/>
      <c r="I41" s="18"/>
      <c r="J41" s="18"/>
      <c r="K41" s="18"/>
      <c r="L41" s="18"/>
      <c r="M41" s="18"/>
      <c r="N41" s="167"/>
      <c r="O41" s="168" t="s">
        <v>112</v>
      </c>
      <c r="P41" s="5"/>
      <c r="Q41" s="5"/>
      <c r="R41" s="5"/>
      <c r="S41" s="5"/>
      <c r="T41" s="5"/>
      <c r="U41" s="5"/>
      <c r="V41" s="5"/>
      <c r="W41" s="3"/>
      <c r="X41" s="3"/>
      <c r="Y41" s="3"/>
    </row>
    <row r="42" spans="1:25" ht="15" customHeight="1">
      <c r="A42" s="1"/>
      <c r="B42" s="1"/>
      <c r="C42" s="15"/>
      <c r="D42" s="1"/>
      <c r="E42" s="1"/>
      <c r="F42" s="1"/>
      <c r="G42" s="30"/>
      <c r="H42" s="1"/>
      <c r="I42" s="1"/>
      <c r="J42" s="1"/>
      <c r="K42" s="1"/>
      <c r="L42" s="1"/>
      <c r="M42" s="1"/>
      <c r="N42" s="1"/>
      <c r="O42" s="1"/>
      <c r="P42" s="5"/>
      <c r="Q42" s="5"/>
      <c r="R42" s="5"/>
      <c r="S42" s="5"/>
      <c r="T42" s="5"/>
      <c r="U42" s="5"/>
      <c r="V42" s="5"/>
      <c r="W42" s="3"/>
      <c r="X42" s="3"/>
      <c r="Y42" s="3"/>
    </row>
    <row r="43" spans="1:25" ht="15" customHeight="1">
      <c r="A43" s="1"/>
      <c r="B43" s="1"/>
      <c r="C43" s="1"/>
      <c r="D43" s="1"/>
      <c r="E43" s="1"/>
      <c r="F43" s="1"/>
      <c r="G43" s="30"/>
      <c r="H43" s="1"/>
      <c r="I43" s="1"/>
      <c r="J43" s="1"/>
      <c r="K43" s="1"/>
      <c r="L43" s="1"/>
      <c r="M43" s="1"/>
      <c r="N43" s="1"/>
      <c r="O43" s="1"/>
      <c r="P43" s="5"/>
      <c r="Q43" s="5"/>
      <c r="R43" s="5"/>
      <c r="S43" s="5"/>
      <c r="T43" s="5"/>
      <c r="U43" s="5"/>
      <c r="V43" s="5"/>
      <c r="W43" s="3"/>
      <c r="X43" s="3"/>
      <c r="Y43" s="3"/>
    </row>
    <row r="44" spans="1:25" ht="15" customHeight="1">
      <c r="A44" s="1"/>
      <c r="B44" s="1"/>
      <c r="C44" s="1"/>
      <c r="D44" s="1"/>
      <c r="E44" s="1"/>
      <c r="F44" s="1"/>
      <c r="G44" s="1"/>
      <c r="H44" s="5"/>
      <c r="I44" s="1"/>
      <c r="J44" s="1"/>
      <c r="K44" s="1"/>
      <c r="L44" s="1"/>
      <c r="M44" s="1"/>
      <c r="N44" s="1"/>
      <c r="O44" s="1"/>
      <c r="P44" s="5"/>
      <c r="Q44" s="5"/>
      <c r="R44" s="5"/>
      <c r="S44" s="5"/>
      <c r="T44" s="5"/>
      <c r="U44" s="5"/>
      <c r="V44" s="5"/>
      <c r="W44" s="3"/>
      <c r="X44" s="3"/>
      <c r="Y44" s="3"/>
    </row>
    <row r="45" spans="1:25" ht="15" customHeight="1">
      <c r="A45" s="1"/>
      <c r="B45" s="28"/>
      <c r="C45" s="1"/>
      <c r="D45" s="1"/>
      <c r="E45" s="1"/>
      <c r="F45" s="1"/>
      <c r="G45" s="1"/>
      <c r="H45" s="5"/>
      <c r="I45" s="1"/>
      <c r="J45" s="1"/>
      <c r="K45" s="1"/>
      <c r="L45" s="1"/>
      <c r="M45" s="1"/>
      <c r="N45" s="1"/>
      <c r="O45" s="1"/>
      <c r="P45" s="5"/>
      <c r="Q45" s="5"/>
      <c r="R45" s="5"/>
      <c r="S45" s="5"/>
      <c r="T45" s="5"/>
      <c r="U45" s="5"/>
      <c r="V45" s="5"/>
      <c r="W45" s="3"/>
      <c r="X45" s="3"/>
      <c r="Y45" s="3"/>
    </row>
    <row r="46" spans="1:25">
      <c r="A46" s="1"/>
      <c r="B46" s="12"/>
      <c r="C46" s="26"/>
      <c r="D46" s="1"/>
      <c r="E46" s="1"/>
      <c r="F46" s="1"/>
      <c r="G46" s="1"/>
      <c r="H46" s="5"/>
      <c r="I46" s="1"/>
      <c r="J46" s="1"/>
      <c r="K46" s="1"/>
      <c r="L46" s="1"/>
      <c r="M46" s="1"/>
      <c r="N46" s="1"/>
      <c r="O46" s="1"/>
      <c r="P46" s="5"/>
      <c r="Q46" s="5"/>
      <c r="R46" s="1"/>
      <c r="S46" s="1"/>
      <c r="T46" s="1"/>
      <c r="U46" s="1"/>
      <c r="V46" s="1"/>
    </row>
    <row r="47" spans="1:25">
      <c r="A47" s="1"/>
      <c r="B47" s="29"/>
      <c r="C47" s="1"/>
      <c r="D47" s="1"/>
      <c r="E47" s="1"/>
      <c r="F47" s="1"/>
      <c r="G47" s="1"/>
      <c r="H47" s="5"/>
      <c r="I47" s="1"/>
      <c r="J47" s="1"/>
      <c r="K47" s="1"/>
      <c r="L47" s="1"/>
      <c r="M47" s="1"/>
      <c r="N47" s="1"/>
      <c r="O47" s="1"/>
      <c r="P47" s="5"/>
      <c r="Q47" s="5"/>
      <c r="R47" s="1"/>
      <c r="S47" s="1"/>
      <c r="T47" s="1"/>
      <c r="U47" s="1"/>
      <c r="V47" s="1"/>
    </row>
    <row r="48" spans="1:25">
      <c r="A48" s="1"/>
      <c r="B48" s="1"/>
      <c r="C48" s="1"/>
      <c r="D48" s="1"/>
      <c r="E48" s="1"/>
      <c r="F48" s="1"/>
      <c r="G48" s="1"/>
      <c r="H48" s="5"/>
      <c r="I48" s="1"/>
      <c r="J48" s="1"/>
      <c r="K48" s="1"/>
      <c r="L48" s="1"/>
      <c r="M48" s="1"/>
      <c r="N48" s="58"/>
      <c r="O48" s="30"/>
      <c r="P48" s="5"/>
      <c r="Q48" s="5"/>
      <c r="R48" s="1"/>
      <c r="S48" s="1"/>
      <c r="T48" s="1"/>
      <c r="U48" s="1"/>
      <c r="V48" s="1"/>
    </row>
    <row r="49" spans="1:22">
      <c r="A49" s="1"/>
      <c r="B49" s="1"/>
      <c r="C49" s="31"/>
      <c r="D49" s="30"/>
      <c r="E49" s="1"/>
      <c r="F49" s="1"/>
      <c r="G49" s="1"/>
      <c r="H49" s="5"/>
      <c r="I49" s="1"/>
      <c r="J49" s="1"/>
      <c r="K49" s="1"/>
      <c r="L49" s="1"/>
      <c r="M49" s="1"/>
      <c r="N49" s="59"/>
      <c r="O49" s="30"/>
      <c r="P49" s="5"/>
      <c r="Q49" s="5"/>
      <c r="R49" s="1"/>
      <c r="S49" s="1"/>
      <c r="T49" s="1"/>
      <c r="U49" s="1"/>
      <c r="V49" s="1"/>
    </row>
    <row r="50" spans="1:22">
      <c r="A50" s="1"/>
      <c r="B50" s="1"/>
      <c r="C50" s="31"/>
      <c r="D50" s="30"/>
      <c r="E50" s="1"/>
      <c r="F50" s="1"/>
      <c r="G50" s="1"/>
      <c r="H50" s="5"/>
      <c r="I50" s="1"/>
      <c r="J50" s="1"/>
      <c r="K50" s="1"/>
      <c r="L50" s="1"/>
      <c r="M50" s="1"/>
      <c r="N50" s="5"/>
      <c r="O50" s="1"/>
      <c r="P50" s="5"/>
      <c r="Q50" s="5"/>
      <c r="R50" s="1"/>
      <c r="S50" s="1"/>
      <c r="T50" s="1"/>
      <c r="U50" s="1"/>
      <c r="V50" s="1"/>
    </row>
    <row r="51" spans="1:22">
      <c r="A51" s="1"/>
      <c r="B51" s="1"/>
      <c r="C51" s="1"/>
      <c r="D51" s="1"/>
      <c r="E51" s="1"/>
      <c r="F51" s="1"/>
      <c r="G51" s="1"/>
      <c r="H51" s="5"/>
      <c r="I51" s="1"/>
      <c r="J51" s="1"/>
      <c r="K51" s="1"/>
      <c r="L51" s="1"/>
      <c r="M51" s="1"/>
      <c r="N51" s="1"/>
      <c r="O51" s="1"/>
      <c r="P51" s="5"/>
      <c r="Q51" s="5"/>
      <c r="R51" s="1"/>
      <c r="S51" s="1"/>
      <c r="T51" s="1"/>
      <c r="U51" s="1"/>
      <c r="V51" s="1"/>
    </row>
    <row r="52" spans="1:22">
      <c r="A52" s="1"/>
      <c r="B52" s="2"/>
      <c r="C52" s="1"/>
      <c r="D52" s="1"/>
      <c r="E52" s="1"/>
      <c r="F52" s="1"/>
      <c r="G52" s="1"/>
      <c r="H52" s="5"/>
      <c r="I52" s="1"/>
      <c r="J52" s="1"/>
      <c r="K52" s="1"/>
      <c r="L52" s="1"/>
      <c r="M52" s="1"/>
      <c r="N52" s="1"/>
      <c r="O52" s="5"/>
      <c r="P52" s="5"/>
      <c r="Q52" s="5"/>
      <c r="R52" s="1"/>
      <c r="S52" s="1"/>
      <c r="T52" s="1"/>
      <c r="U52" s="1"/>
      <c r="V52" s="1"/>
    </row>
    <row r="53" spans="1:22" ht="15">
      <c r="A53" s="1"/>
      <c r="B53" s="1"/>
      <c r="C53" s="28"/>
      <c r="D53" s="1"/>
      <c r="E53" s="1"/>
      <c r="F53" s="1"/>
      <c r="G53" s="1"/>
      <c r="H53" s="5"/>
      <c r="I53" s="1"/>
      <c r="J53" s="8"/>
      <c r="K53" s="1"/>
      <c r="L53" s="1"/>
      <c r="M53" s="1"/>
      <c r="N53" s="1"/>
      <c r="O53" s="5"/>
      <c r="P53" s="5"/>
      <c r="Q53" s="5"/>
      <c r="R53" s="1"/>
      <c r="S53" s="1"/>
      <c r="T53" s="1"/>
      <c r="U53" s="1"/>
      <c r="V53" s="1"/>
    </row>
    <row r="54" spans="1:22">
      <c r="A54" s="1"/>
      <c r="B54" s="1"/>
      <c r="C54" s="28"/>
      <c r="D54" s="1"/>
      <c r="E54" s="1"/>
      <c r="F54" s="1"/>
      <c r="G54" s="1"/>
      <c r="H54" s="5"/>
      <c r="I54" s="1"/>
      <c r="J54" s="1"/>
      <c r="K54" s="1"/>
      <c r="L54" s="1"/>
      <c r="M54" s="1"/>
      <c r="N54" s="1"/>
      <c r="O54" s="5"/>
      <c r="P54" s="5"/>
      <c r="Q54" s="5"/>
      <c r="R54" s="1"/>
      <c r="S54" s="1"/>
      <c r="T54" s="1"/>
      <c r="U54" s="1"/>
      <c r="V54" s="1"/>
    </row>
    <row r="55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5"/>
      <c r="P55" s="5"/>
      <c r="Q55" s="5"/>
      <c r="R55" s="1"/>
      <c r="S55" s="1"/>
      <c r="T55" s="1"/>
      <c r="U55" s="1"/>
      <c r="V55" s="1"/>
    </row>
    <row r="56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5"/>
      <c r="P56" s="5"/>
      <c r="Q56" s="5"/>
      <c r="R56" s="1"/>
      <c r="S56" s="1"/>
      <c r="T56" s="1"/>
      <c r="U56" s="1"/>
      <c r="V56" s="1"/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5"/>
      <c r="Q57" s="5"/>
      <c r="R57" s="1"/>
      <c r="S57" s="1"/>
      <c r="T57" s="1"/>
      <c r="U57" s="1"/>
      <c r="V57" s="1"/>
    </row>
    <row r="58" spans="1:2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5"/>
      <c r="Q58" s="5"/>
      <c r="R58" s="1"/>
      <c r="S58" s="1"/>
      <c r="T58" s="1"/>
      <c r="U58" s="1"/>
      <c r="V58" s="1"/>
    </row>
    <row r="59" spans="1: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"/>
      <c r="Q59" s="5"/>
      <c r="R59" s="1"/>
      <c r="S59" s="1"/>
      <c r="T59" s="1"/>
      <c r="U59" s="1"/>
      <c r="V59" s="1"/>
    </row>
    <row r="60" spans="1:2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5"/>
      <c r="Q60" s="1"/>
      <c r="R60" s="1"/>
      <c r="S60" s="1"/>
      <c r="T60" s="1"/>
      <c r="U60" s="1"/>
      <c r="V60" s="1"/>
    </row>
    <row r="61" spans="1:22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N61" s="1"/>
      <c r="P61" s="5"/>
      <c r="Q61" s="1"/>
      <c r="R61" s="1"/>
      <c r="S61" s="1"/>
      <c r="T61" s="1"/>
      <c r="U61" s="1"/>
      <c r="V61" s="1"/>
    </row>
    <row r="62" spans="1:22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P62" s="5"/>
      <c r="Q62" s="1"/>
      <c r="R62" s="1"/>
      <c r="S62" s="1"/>
      <c r="T62" s="1"/>
      <c r="U62" s="1"/>
      <c r="V62" s="1"/>
    </row>
    <row r="63" spans="1:22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  <c r="N63" s="1"/>
      <c r="P63" s="5"/>
      <c r="Q63" s="1"/>
      <c r="R63" s="1"/>
      <c r="S63" s="1"/>
      <c r="T63" s="1"/>
      <c r="U63" s="1"/>
      <c r="V63" s="1"/>
    </row>
    <row r="64" spans="1:22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  <c r="N64" s="1"/>
      <c r="P64" s="5"/>
      <c r="Q64" s="1"/>
      <c r="R64" s="1"/>
      <c r="S64" s="1"/>
      <c r="T64" s="1"/>
      <c r="U64" s="1"/>
      <c r="V64" s="1"/>
    </row>
    <row r="65" spans="1:22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  <c r="N65" s="1"/>
      <c r="P65" s="5"/>
      <c r="Q65" s="1"/>
      <c r="R65" s="1"/>
      <c r="S65" s="1"/>
      <c r="T65" s="1"/>
      <c r="U65" s="1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  <c r="N66" s="1"/>
      <c r="P66" s="5"/>
      <c r="Q66" s="1"/>
      <c r="R66" s="1"/>
      <c r="S66" s="1"/>
      <c r="T66" s="1"/>
      <c r="U66" s="1"/>
      <c r="V66" s="1"/>
    </row>
    <row r="67" spans="1:22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  <c r="P67" s="5"/>
      <c r="Q67" s="1"/>
      <c r="R67" s="1"/>
      <c r="S67" s="1"/>
      <c r="T67" s="1"/>
      <c r="U67" s="1"/>
      <c r="V67" s="1"/>
    </row>
    <row r="68" spans="1:22">
      <c r="B68" s="1"/>
      <c r="C68" s="1"/>
      <c r="D68" s="1"/>
      <c r="E68" s="1"/>
      <c r="F68" s="1"/>
      <c r="H68" s="1"/>
      <c r="P68" s="5"/>
      <c r="Q68" s="1"/>
      <c r="R68" s="1"/>
      <c r="S68" s="1"/>
      <c r="T68" s="1"/>
      <c r="U68" s="1"/>
      <c r="V68" s="1"/>
    </row>
    <row r="69" spans="1:22">
      <c r="B69" s="1"/>
      <c r="C69" s="1"/>
      <c r="D69" s="1"/>
      <c r="E69" s="1"/>
      <c r="F69" s="1"/>
      <c r="H69" s="1"/>
      <c r="P69" s="5"/>
      <c r="Q69" s="1"/>
      <c r="R69" s="1"/>
      <c r="S69" s="1"/>
      <c r="T69" s="1"/>
      <c r="U69" s="1"/>
      <c r="V69" s="1"/>
    </row>
    <row r="70" spans="1:22">
      <c r="H70" s="1"/>
      <c r="P70" s="5"/>
      <c r="Q70" s="1"/>
      <c r="R70" s="1"/>
      <c r="S70" s="1"/>
      <c r="T70" s="1"/>
      <c r="U70" s="1"/>
      <c r="V70" s="1"/>
    </row>
    <row r="71" spans="1:22">
      <c r="H71" s="1"/>
      <c r="P71" s="5"/>
      <c r="Q71" s="1"/>
      <c r="R71" s="1"/>
      <c r="S71" s="1"/>
      <c r="T71" s="1"/>
      <c r="U71" s="1"/>
      <c r="V71" s="1"/>
    </row>
    <row r="72" spans="1:22">
      <c r="H72" s="1"/>
      <c r="P72" s="5"/>
      <c r="Q72" s="1"/>
      <c r="R72" s="1"/>
      <c r="S72" s="1"/>
      <c r="T72" s="1"/>
      <c r="U72" s="1"/>
      <c r="V72" s="1"/>
    </row>
    <row r="73" spans="1:22">
      <c r="H73" s="1"/>
      <c r="P73" s="5"/>
      <c r="Q73" s="1"/>
      <c r="R73" s="1"/>
      <c r="S73" s="1"/>
      <c r="T73" s="1"/>
      <c r="U73" s="1"/>
      <c r="V73" s="1"/>
    </row>
    <row r="74" spans="1:22">
      <c r="H74" s="1"/>
      <c r="P74" s="1"/>
      <c r="Q74" s="1"/>
      <c r="R74" s="1"/>
      <c r="S74" s="1"/>
      <c r="T74" s="1"/>
      <c r="U74" s="1"/>
      <c r="V74" s="1"/>
    </row>
    <row r="75" spans="1:22">
      <c r="H75" s="1"/>
    </row>
  </sheetData>
  <sheetProtection sheet="1" objects="1" scenarios="1"/>
  <mergeCells count="3">
    <mergeCell ref="A3:G3"/>
    <mergeCell ref="A30:G30"/>
    <mergeCell ref="A18:F18"/>
  </mergeCells>
  <conditionalFormatting sqref="F6:F8">
    <cfRule type="expression" dxfId="11" priority="23">
      <formula>IF(AND(#REF!="Yes",#REF!="Yes"),0,1)</formula>
    </cfRule>
  </conditionalFormatting>
  <conditionalFormatting sqref="F12:F15">
    <cfRule type="expression" dxfId="10" priority="22">
      <formula>IF(StepFour,0,1)</formula>
    </cfRule>
  </conditionalFormatting>
  <conditionalFormatting sqref="N6:N29 N33:N35 F33:F40">
    <cfRule type="expression" dxfId="9" priority="3" stopIfTrue="1">
      <formula>IF(StepSix,0,1)</formula>
    </cfRule>
  </conditionalFormatting>
  <conditionalFormatting sqref="F21:F27">
    <cfRule type="expression" dxfId="8" priority="20">
      <formula>IF(StepFive,0,1)</formula>
    </cfRule>
  </conditionalFormatting>
  <conditionalFormatting sqref="N20:N22">
    <cfRule type="expression" dxfId="7" priority="1">
      <formula>IF(DSAHM,0,1)</formula>
    </cfRule>
  </conditionalFormatting>
  <conditionalFormatting sqref="J10">
    <cfRule type="expression" dxfId="6" priority="13">
      <formula>IF(EMPC,1,0)</formula>
    </cfRule>
  </conditionalFormatting>
  <conditionalFormatting sqref="K37">
    <cfRule type="expression" dxfId="5" priority="12">
      <formula>IF($N$35="No",1,0)</formula>
    </cfRule>
  </conditionalFormatting>
  <conditionalFormatting sqref="N27:N29">
    <cfRule type="expression" dxfId="4" priority="16">
      <formula>IF(DMPC,0,1)</formula>
    </cfRule>
  </conditionalFormatting>
  <conditionalFormatting sqref="N33:N35">
    <cfRule type="expression" dxfId="3" priority="2">
      <formula>IF(DMWIP,0,1)</formula>
    </cfRule>
  </conditionalFormatting>
  <pageMargins left="0.43" right="0.43" top="0.75" bottom="0.75" header="0.3" footer="0.3"/>
  <pageSetup scale="82" orientation="landscape" r:id="rId1"/>
  <headerFooter alignWithMargins="0">
    <oddHeader>&amp;L&amp;"Arial,Bold"&amp;14&amp;F&amp;"Arial,Regular"&amp;10
Run on: &amp;D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enableFormatConditionsCalculation="0"/>
  <dimension ref="A1:L18"/>
  <sheetViews>
    <sheetView workbookViewId="0">
      <selection activeCell="E17" sqref="E17"/>
    </sheetView>
  </sheetViews>
  <sheetFormatPr defaultColWidth="8.85546875" defaultRowHeight="12.75"/>
  <cols>
    <col min="1" max="1" width="15.85546875" bestFit="1" customWidth="1"/>
    <col min="2" max="2" width="18" customWidth="1"/>
    <col min="3" max="3" width="18.85546875" customWidth="1"/>
    <col min="5" max="5" width="17.28515625" customWidth="1"/>
    <col min="6" max="6" width="16" customWidth="1"/>
    <col min="7" max="7" width="14" customWidth="1"/>
    <col min="8" max="8" width="14.42578125" customWidth="1"/>
    <col min="9" max="9" width="16.85546875" customWidth="1"/>
    <col min="10" max="10" width="12.85546875" customWidth="1"/>
    <col min="11" max="11" width="13.28515625" customWidth="1"/>
    <col min="12" max="12" width="14.7109375" customWidth="1"/>
  </cols>
  <sheetData>
    <row r="1" spans="1:12">
      <c r="A1" t="s">
        <v>64</v>
      </c>
      <c r="B1">
        <f ca="1">ROUNDUP((TODAY-FPAY)/360,0)</f>
        <v>8</v>
      </c>
      <c r="F1" s="199">
        <v>40455</v>
      </c>
      <c r="G1" s="199">
        <v>40651</v>
      </c>
      <c r="H1" s="199">
        <v>41008</v>
      </c>
      <c r="I1" s="199">
        <v>41071</v>
      </c>
      <c r="J1" s="199">
        <v>41365</v>
      </c>
      <c r="K1" s="199">
        <v>41428</v>
      </c>
      <c r="L1" s="198" t="s">
        <v>153</v>
      </c>
    </row>
    <row r="2" spans="1:12">
      <c r="A2" s="80" t="s">
        <v>117</v>
      </c>
      <c r="B2" s="174">
        <f>IF('Other Inputs'!E6="ARM",ORATE,rate)</f>
        <v>0.09</v>
      </c>
      <c r="F2" s="198">
        <f>IF(FPAY&lt;F1,1,0)</f>
        <v>1</v>
      </c>
      <c r="G2" s="198">
        <f>IF(AND(FPAY&gt;F1,FPAY&lt;=G1),1,0)</f>
        <v>0</v>
      </c>
      <c r="H2" s="198">
        <f>IF(AND(FPAY&gt;G1,FPAY&lt;=H1),1,0)</f>
        <v>0</v>
      </c>
      <c r="I2" s="198">
        <f>IF(AND(FPAY&gt;H1,FPAY&lt;=I1),1,0)</f>
        <v>0</v>
      </c>
      <c r="J2" s="198">
        <f>IF(AND(FPAY&gt;I1,FPAY&lt;=J1),1,0)</f>
        <v>0</v>
      </c>
      <c r="K2" s="198">
        <f>IF(AND(FPAY&gt;J1,FPAY&lt;=K1),1,0)</f>
        <v>0</v>
      </c>
      <c r="L2" s="198">
        <f>IF(FPAY&gt;=K1,1,0)</f>
        <v>0</v>
      </c>
    </row>
    <row r="3" spans="1:12">
      <c r="A3" t="s">
        <v>63</v>
      </c>
      <c r="B3" s="76" t="s">
        <v>62</v>
      </c>
      <c r="C3" t="s">
        <v>61</v>
      </c>
      <c r="E3" t="s">
        <v>152</v>
      </c>
      <c r="F3" s="200">
        <v>2.2499999999999999E-2</v>
      </c>
      <c r="G3" s="201">
        <v>0.01</v>
      </c>
      <c r="H3" s="201">
        <v>0.01</v>
      </c>
      <c r="I3" s="202">
        <v>1.7500000000000002E-2</v>
      </c>
      <c r="J3" s="202">
        <v>1.7500000000000002E-2</v>
      </c>
      <c r="K3" s="202">
        <v>1.7500000000000002E-2</v>
      </c>
      <c r="L3" s="202">
        <v>1.7500000000000002E-2</v>
      </c>
    </row>
    <row r="4" spans="1:12">
      <c r="A4">
        <f ca="1">(B1-1)*12+1</f>
        <v>85</v>
      </c>
      <c r="B4" s="74">
        <f ca="1">IF(A4=1,OPRINC,OPRINC+CUMPRINC($B$2/12,LOANTERM,OPRINC,1,A4-1,0))</f>
        <v>374561.82594171149</v>
      </c>
      <c r="C4" s="75">
        <f ca="1">AVERAGE(B4:B15)</f>
        <v>372253.56698653445</v>
      </c>
      <c r="E4" t="s">
        <v>155</v>
      </c>
      <c r="F4" s="197">
        <f>0.5%</f>
        <v>5.0000000000000001E-3</v>
      </c>
      <c r="G4" s="197">
        <f>IF(C13&gt;95%,0.85%,0.9%)</f>
        <v>9.0000000000000011E-3</v>
      </c>
      <c r="H4" s="197">
        <f>IF(C13&gt;95%,1.1%,1.15%)</f>
        <v>1.15E-2</v>
      </c>
      <c r="I4" s="197">
        <f>IF(C13&gt;95%,1.2%,1.25%)</f>
        <v>1.2500000000000001E-2</v>
      </c>
      <c r="J4" s="197">
        <f>IF(C13&gt;95%,1.2%,1.25%)+IF(OPRINC&gt;(625000-C10),0.25%,0)</f>
        <v>1.2500000000000001E-2</v>
      </c>
      <c r="K4" s="197">
        <f>IF(C13&gt;95%,1.3%,1.35%)+IF(OPRINC&gt;(625000-C10),0.2%,0)</f>
        <v>1.3500000000000002E-2</v>
      </c>
      <c r="L4" s="197">
        <f>IF(C13&gt;95%,1.3%,1.35%)+IF(OPRINC&gt;(625000-C10),0.2%,0)</f>
        <v>1.3500000000000002E-2</v>
      </c>
    </row>
    <row r="5" spans="1:12">
      <c r="A5">
        <f t="shared" ref="A5:A15" ca="1" si="0">A4+1</f>
        <v>86</v>
      </c>
      <c r="B5" s="74">
        <f t="shared" ref="B5:B15" ca="1" si="1">OPRINC+CUMPRINC($B$2/12,LOANTERM,OPRINC,1,A5-1,0)</f>
        <v>374152.54916849523</v>
      </c>
      <c r="E5" t="s">
        <v>157</v>
      </c>
      <c r="F5" s="203">
        <f t="shared" ref="F5:K5" si="2">IF(AND(OVALUE*0.78&lt;(DUPB/(1+UFMIPRATE)),ROUNDUP(DAYS360(FPAY,DDate)/30,0)&gt;60),0,1)</f>
        <v>1</v>
      </c>
      <c r="G5" s="203">
        <f t="shared" si="2"/>
        <v>1</v>
      </c>
      <c r="H5" s="203">
        <f t="shared" si="2"/>
        <v>1</v>
      </c>
      <c r="I5" s="203">
        <f t="shared" si="2"/>
        <v>1</v>
      </c>
      <c r="J5" s="203">
        <f t="shared" si="2"/>
        <v>1</v>
      </c>
      <c r="K5" s="203">
        <f t="shared" si="2"/>
        <v>1</v>
      </c>
      <c r="L5" s="203">
        <f>IF(C13&gt;90%,0,IF(AND(OVALUE*0.78&lt;(DUPB/(1+UFMIPRATE)),ROUNDUP(DAYS360(FPAY,DDate)/30,0)&gt;132),0,1))</f>
        <v>1</v>
      </c>
    </row>
    <row r="6" spans="1:12">
      <c r="A6">
        <f t="shared" ca="1" si="0"/>
        <v>87</v>
      </c>
      <c r="B6" s="74">
        <f t="shared" ca="1" si="1"/>
        <v>373740.2028194798</v>
      </c>
      <c r="C6" t="s">
        <v>60</v>
      </c>
      <c r="F6" s="74"/>
    </row>
    <row r="7" spans="1:12">
      <c r="A7">
        <f t="shared" ca="1" si="0"/>
        <v>88</v>
      </c>
      <c r="B7" s="74">
        <f t="shared" ca="1" si="1"/>
        <v>373324.76387284679</v>
      </c>
      <c r="C7" s="74">
        <f ca="1">MIPRATE*C4/12/(1+UFMIPRATE)*HLOOKUP(1,MIPMATRIX,4,FALSE)</f>
        <v>151.69257008416236</v>
      </c>
      <c r="F7" s="74"/>
      <c r="G7" s="74"/>
    </row>
    <row r="8" spans="1:12">
      <c r="A8">
        <f t="shared" ca="1" si="0"/>
        <v>89</v>
      </c>
      <c r="B8" s="74">
        <f t="shared" ca="1" si="1"/>
        <v>372906.20913411403</v>
      </c>
      <c r="F8" s="74"/>
    </row>
    <row r="9" spans="1:12">
      <c r="A9">
        <f t="shared" ca="1" si="0"/>
        <v>90</v>
      </c>
      <c r="B9" s="74">
        <f t="shared" ca="1" si="1"/>
        <v>372484.51523484074</v>
      </c>
      <c r="C9" t="s">
        <v>156</v>
      </c>
      <c r="F9" s="74"/>
    </row>
    <row r="10" spans="1:12">
      <c r="A10">
        <f t="shared" ca="1" si="0"/>
        <v>91</v>
      </c>
      <c r="B10" s="74">
        <f t="shared" ca="1" si="1"/>
        <v>372059.65863132291</v>
      </c>
      <c r="C10" s="74">
        <f>UFMIPRATE*OPRINC/(1+UFMIPRATE)</f>
        <v>8801.955990220049</v>
      </c>
      <c r="F10" s="74"/>
    </row>
    <row r="11" spans="1:12">
      <c r="A11">
        <f t="shared" ca="1" si="0"/>
        <v>92</v>
      </c>
      <c r="B11" s="74">
        <f t="shared" ca="1" si="1"/>
        <v>371631.61560327874</v>
      </c>
      <c r="F11" s="74"/>
    </row>
    <row r="12" spans="1:12">
      <c r="A12">
        <f t="shared" ca="1" si="0"/>
        <v>93</v>
      </c>
      <c r="B12" s="74">
        <f t="shared" ca="1" si="1"/>
        <v>371200.36225252418</v>
      </c>
      <c r="C12" t="s">
        <v>150</v>
      </c>
      <c r="F12" s="74"/>
    </row>
    <row r="13" spans="1:12">
      <c r="A13">
        <f t="shared" ca="1" si="0"/>
        <v>94</v>
      </c>
      <c r="B13" s="74">
        <f t="shared" ca="1" si="1"/>
        <v>370765.87450163899</v>
      </c>
      <c r="C13" s="197">
        <f>(OPRINC-C10)/OVALUE</f>
        <v>0.71126917092687258</v>
      </c>
      <c r="F13" s="74"/>
    </row>
    <row r="14" spans="1:12">
      <c r="A14">
        <f t="shared" ca="1" si="0"/>
        <v>95</v>
      </c>
      <c r="B14" s="74">
        <f t="shared" ca="1" si="1"/>
        <v>370328.12809262221</v>
      </c>
      <c r="F14" s="74"/>
    </row>
    <row r="15" spans="1:12">
      <c r="A15">
        <f t="shared" ca="1" si="0"/>
        <v>96</v>
      </c>
      <c r="B15" s="74">
        <f t="shared" ca="1" si="1"/>
        <v>369887.09858553775</v>
      </c>
      <c r="C15" t="s">
        <v>151</v>
      </c>
      <c r="F15" s="74"/>
    </row>
    <row r="16" spans="1:12">
      <c r="C16" s="197">
        <f>DUPB/(OVALUE/(1+UFMIPRATE))</f>
        <v>0.70977165353785987</v>
      </c>
    </row>
    <row r="17" spans="1:2">
      <c r="A17" t="s">
        <v>149</v>
      </c>
      <c r="B17" t="s">
        <v>148</v>
      </c>
    </row>
    <row r="18" spans="1:2">
      <c r="A18">
        <f>HLOOKUP(1,MIPMATRIX,3,FALSE)</f>
        <v>5.0000000000000001E-3</v>
      </c>
      <c r="B18">
        <f>IF(MIPFIN="No",0,HLOOKUP(1,MIPMATRIX,2,FALSE))</f>
        <v>2.2499999999999999E-2</v>
      </c>
    </row>
  </sheetData>
  <dataConsolidate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rgb="FFCC99FF"/>
    <pageSetUpPr autoPageBreaks="0"/>
  </sheetPr>
  <dimension ref="A1:I54"/>
  <sheetViews>
    <sheetView showGridLines="0" zoomScaleNormal="100" workbookViewId="0">
      <selection activeCell="C6" sqref="C6"/>
    </sheetView>
  </sheetViews>
  <sheetFormatPr defaultColWidth="8.85546875" defaultRowHeight="12.75"/>
  <cols>
    <col min="1" max="1" width="18.140625" customWidth="1"/>
    <col min="2" max="2" width="9" customWidth="1"/>
    <col min="3" max="3" width="23.42578125" customWidth="1"/>
    <col min="4" max="4" width="16" customWidth="1"/>
    <col min="5" max="5" width="24.42578125" customWidth="1"/>
  </cols>
  <sheetData>
    <row r="1" spans="1:9" ht="18.75">
      <c r="A1" s="223" t="s">
        <v>91</v>
      </c>
      <c r="B1" s="224"/>
      <c r="C1" s="224"/>
      <c r="D1" s="224"/>
      <c r="E1" s="225"/>
    </row>
    <row r="2" spans="1:9" ht="18.75">
      <c r="A2" s="107"/>
      <c r="B2" s="108"/>
      <c r="C2" s="108"/>
      <c r="D2" s="108"/>
      <c r="E2" s="109"/>
    </row>
    <row r="3" spans="1:9">
      <c r="A3" s="100"/>
      <c r="B3" s="101"/>
      <c r="C3" s="101"/>
      <c r="D3" s="101"/>
      <c r="E3" s="102"/>
    </row>
    <row r="4" spans="1:9">
      <c r="A4" s="100"/>
      <c r="B4" s="101"/>
      <c r="C4" s="103" t="str">
        <f ca="1">HLOOKUP(1,OutcomeMatrix,2,FALSE)</f>
        <v>FHA-HAMP Modification with Partial Claim</v>
      </c>
      <c r="D4" s="104"/>
      <c r="E4" s="102"/>
    </row>
    <row r="5" spans="1:9">
      <c r="A5" s="100"/>
      <c r="B5" s="101"/>
      <c r="C5" s="103"/>
      <c r="D5" s="104"/>
      <c r="E5" s="102"/>
    </row>
    <row r="6" spans="1:9">
      <c r="A6" s="100"/>
      <c r="B6" s="101"/>
      <c r="C6" s="105" t="str">
        <f ca="1">IF(GFORB,"",IF(NoMod,"FHA-HAMP Minimum GMI","Monthly PITIA"))</f>
        <v>Monthly PITIA</v>
      </c>
      <c r="D6" s="95">
        <f ca="1">HLOOKUP(1,OutcomeMatrix,3,FALSE)</f>
        <v>2251.6887386073645</v>
      </c>
      <c r="E6" s="102"/>
    </row>
    <row r="7" spans="1:9">
      <c r="A7" s="100"/>
      <c r="B7" s="101"/>
      <c r="C7" s="105" t="s">
        <v>128</v>
      </c>
      <c r="D7" s="95">
        <f ca="1">HLOOKUP(1,OutcomeMatrix,4,FALSE)</f>
        <v>1649.996168523202</v>
      </c>
      <c r="E7" s="102"/>
    </row>
    <row r="8" spans="1:9">
      <c r="A8" s="100"/>
      <c r="B8" s="101"/>
      <c r="C8" s="105" t="s">
        <v>110</v>
      </c>
      <c r="D8" s="95">
        <f ca="1">HLOOKUP(1,OutcomeMatrix,5,FALSE)</f>
        <v>345610.24420353962</v>
      </c>
      <c r="E8" s="102"/>
      <c r="I8" s="153"/>
    </row>
    <row r="9" spans="1:9">
      <c r="A9" s="100"/>
      <c r="B9" s="101"/>
      <c r="C9" s="105" t="s">
        <v>79</v>
      </c>
      <c r="D9" s="95">
        <f ca="1">HLOOKUP(1,OutcomeMatrix,6,FALSE)</f>
        <v>114535.27905500919</v>
      </c>
      <c r="E9" s="102"/>
    </row>
    <row r="10" spans="1:9">
      <c r="A10" s="100"/>
      <c r="B10" s="101"/>
      <c r="C10" s="105" t="s">
        <v>80</v>
      </c>
      <c r="D10" s="96">
        <f ca="1">HLOOKUP(1,OutcomeMatrix,7,FALSE)</f>
        <v>0.04</v>
      </c>
      <c r="E10" s="102"/>
    </row>
    <row r="11" spans="1:9">
      <c r="A11" s="100"/>
      <c r="B11" s="101"/>
      <c r="C11" s="105" t="s">
        <v>81</v>
      </c>
      <c r="D11" s="97">
        <f ca="1">HLOOKUP(1,OutcomeMatrix,8,FALSE)</f>
        <v>360</v>
      </c>
      <c r="E11" s="102"/>
    </row>
    <row r="12" spans="1:9">
      <c r="A12" s="100"/>
      <c r="B12" s="101"/>
      <c r="C12" s="101"/>
      <c r="D12" s="101"/>
      <c r="E12" s="102"/>
    </row>
    <row r="13" spans="1:9">
      <c r="A13" s="100"/>
      <c r="B13" s="101"/>
      <c r="C13" s="101"/>
      <c r="D13" s="101"/>
      <c r="E13" s="102"/>
    </row>
    <row r="14" spans="1:9">
      <c r="A14" s="100"/>
      <c r="B14" s="101"/>
      <c r="C14" s="101"/>
      <c r="D14" s="101"/>
      <c r="E14" s="102"/>
    </row>
    <row r="15" spans="1:9">
      <c r="A15" s="169" t="s">
        <v>113</v>
      </c>
      <c r="B15" s="106"/>
      <c r="C15" s="106"/>
      <c r="D15" s="167"/>
      <c r="E15" s="168" t="s">
        <v>112</v>
      </c>
    </row>
    <row r="16" spans="1:9">
      <c r="A16" s="165"/>
      <c r="B16" s="101"/>
      <c r="C16" s="101"/>
      <c r="D16" s="101"/>
      <c r="E16" s="166"/>
    </row>
    <row r="17" spans="1:5">
      <c r="A17" s="226" t="s">
        <v>111</v>
      </c>
      <c r="B17" s="226"/>
      <c r="C17" s="226"/>
      <c r="D17" s="226"/>
      <c r="E17" s="226"/>
    </row>
    <row r="18" spans="1:5">
      <c r="A18" s="98"/>
      <c r="B18" s="98"/>
      <c r="C18" s="98"/>
      <c r="D18" s="98"/>
      <c r="E18" s="98"/>
    </row>
    <row r="19" spans="1:5">
      <c r="A19" s="98"/>
      <c r="B19" s="98"/>
      <c r="C19" s="98"/>
      <c r="D19" s="98"/>
      <c r="E19" s="98"/>
    </row>
    <row r="20" spans="1:5">
      <c r="A20" s="98"/>
      <c r="B20" s="98"/>
      <c r="C20" s="98"/>
      <c r="D20" s="98"/>
      <c r="E20" s="98"/>
    </row>
    <row r="21" spans="1:5">
      <c r="A21" s="98"/>
      <c r="B21" s="98"/>
      <c r="C21" s="98"/>
      <c r="D21" s="98"/>
      <c r="E21" s="98"/>
    </row>
    <row r="22" spans="1:5">
      <c r="A22" s="98"/>
      <c r="B22" s="98"/>
      <c r="C22" s="98"/>
      <c r="D22" s="98"/>
      <c r="E22" s="98"/>
    </row>
    <row r="23" spans="1:5">
      <c r="A23" s="98"/>
      <c r="B23" s="98"/>
      <c r="C23" s="98"/>
      <c r="D23" s="98"/>
      <c r="E23" s="98"/>
    </row>
    <row r="24" spans="1:5">
      <c r="A24" s="98"/>
      <c r="B24" s="98"/>
      <c r="C24" s="98"/>
      <c r="D24" s="98"/>
      <c r="E24" s="98"/>
    </row>
    <row r="25" spans="1:5">
      <c r="A25" s="98"/>
      <c r="B25" s="98"/>
      <c r="C25" s="98"/>
      <c r="D25" s="98"/>
      <c r="E25" s="98"/>
    </row>
    <row r="26" spans="1:5">
      <c r="A26" s="98"/>
      <c r="B26" s="98"/>
      <c r="C26" s="98"/>
      <c r="D26" s="98"/>
      <c r="E26" s="98"/>
    </row>
    <row r="27" spans="1:5">
      <c r="A27" s="98"/>
      <c r="B27" s="98"/>
      <c r="C27" s="98"/>
      <c r="D27" s="98"/>
      <c r="E27" s="98"/>
    </row>
    <row r="28" spans="1:5">
      <c r="A28" s="98"/>
      <c r="B28" s="98"/>
      <c r="C28" s="98"/>
      <c r="D28" s="98"/>
      <c r="E28" s="98"/>
    </row>
    <row r="29" spans="1:5">
      <c r="A29" s="98"/>
      <c r="B29" s="98"/>
      <c r="C29" s="98"/>
      <c r="D29" s="98"/>
      <c r="E29" s="98"/>
    </row>
    <row r="30" spans="1:5">
      <c r="A30" s="98"/>
      <c r="B30" s="98"/>
      <c r="C30" s="98"/>
      <c r="D30" s="98"/>
      <c r="E30" s="98"/>
    </row>
    <row r="31" spans="1:5">
      <c r="A31" s="98"/>
      <c r="B31" s="98"/>
      <c r="C31" s="98"/>
      <c r="D31" s="98"/>
      <c r="E31" s="98"/>
    </row>
    <row r="32" spans="1:5">
      <c r="A32" s="98"/>
      <c r="B32" s="98"/>
      <c r="C32" s="98"/>
      <c r="D32" s="98"/>
      <c r="E32" s="98"/>
    </row>
    <row r="33" spans="1:5">
      <c r="A33" s="98"/>
      <c r="B33" s="98"/>
      <c r="C33" s="98"/>
      <c r="D33" s="98"/>
      <c r="E33" s="98"/>
    </row>
    <row r="34" spans="1:5">
      <c r="A34" s="98"/>
      <c r="B34" s="98"/>
      <c r="C34" s="98"/>
      <c r="D34" s="98"/>
      <c r="E34" s="98"/>
    </row>
    <row r="35" spans="1:5">
      <c r="A35" s="98"/>
      <c r="B35" s="98"/>
      <c r="C35" s="98"/>
      <c r="D35" s="98"/>
      <c r="E35" s="98"/>
    </row>
    <row r="36" spans="1:5">
      <c r="A36" s="98"/>
      <c r="B36" s="98"/>
      <c r="C36" s="98"/>
      <c r="D36" s="98"/>
      <c r="E36" s="98"/>
    </row>
    <row r="37" spans="1:5">
      <c r="A37" s="98"/>
      <c r="B37" s="98"/>
      <c r="C37" s="98"/>
      <c r="D37" s="98"/>
      <c r="E37" s="98"/>
    </row>
    <row r="38" spans="1:5">
      <c r="A38" s="98"/>
      <c r="B38" s="98"/>
      <c r="C38" s="98"/>
      <c r="D38" s="98"/>
      <c r="E38" s="98"/>
    </row>
    <row r="39" spans="1:5">
      <c r="A39" s="98"/>
      <c r="B39" s="98"/>
      <c r="C39" s="98"/>
      <c r="D39" s="98"/>
      <c r="E39" s="98"/>
    </row>
    <row r="40" spans="1:5">
      <c r="A40" s="98"/>
      <c r="B40" s="98"/>
      <c r="C40" s="98"/>
      <c r="D40" s="98"/>
      <c r="E40" s="98"/>
    </row>
    <row r="41" spans="1:5">
      <c r="A41" s="98"/>
      <c r="B41" s="98"/>
      <c r="C41" s="98"/>
      <c r="D41" s="98"/>
      <c r="E41" s="98"/>
    </row>
    <row r="42" spans="1:5">
      <c r="A42" s="98"/>
      <c r="B42" s="98"/>
      <c r="C42" s="98"/>
      <c r="D42" s="98"/>
      <c r="E42" s="98"/>
    </row>
    <row r="43" spans="1:5">
      <c r="A43" s="98"/>
      <c r="B43" s="98"/>
      <c r="C43" s="98"/>
      <c r="D43" s="98"/>
      <c r="E43" s="98"/>
    </row>
    <row r="44" spans="1:5">
      <c r="A44" s="98"/>
      <c r="B44" s="98"/>
      <c r="C44" s="98"/>
      <c r="D44" s="98"/>
      <c r="E44" s="98"/>
    </row>
    <row r="45" spans="1:5">
      <c r="A45" s="98"/>
      <c r="B45" s="98"/>
      <c r="C45" s="98"/>
      <c r="D45" s="98"/>
      <c r="E45" s="98"/>
    </row>
    <row r="46" spans="1:5">
      <c r="A46" s="98"/>
      <c r="B46" s="98"/>
      <c r="C46" s="98"/>
      <c r="D46" s="98"/>
      <c r="E46" s="98"/>
    </row>
    <row r="47" spans="1:5">
      <c r="A47" s="98"/>
      <c r="B47" s="98"/>
      <c r="C47" s="98"/>
      <c r="D47" s="98"/>
      <c r="E47" s="98"/>
    </row>
    <row r="48" spans="1:5">
      <c r="A48" s="98"/>
      <c r="B48" s="98"/>
      <c r="C48" s="98"/>
      <c r="D48" s="98"/>
      <c r="E48" s="98"/>
    </row>
    <row r="49" spans="1:5">
      <c r="A49" s="98"/>
      <c r="B49" s="98"/>
      <c r="C49" s="98"/>
      <c r="D49" s="98"/>
      <c r="E49" s="98"/>
    </row>
    <row r="50" spans="1:5">
      <c r="A50" s="98"/>
      <c r="B50" s="98"/>
      <c r="C50" s="98"/>
      <c r="D50" s="98"/>
      <c r="E50" s="98"/>
    </row>
    <row r="51" spans="1:5">
      <c r="A51" s="98"/>
      <c r="B51" s="98"/>
      <c r="C51" s="98"/>
      <c r="D51" s="98"/>
      <c r="E51" s="98"/>
    </row>
    <row r="52" spans="1:5">
      <c r="A52" s="98"/>
      <c r="B52" s="98"/>
      <c r="C52" s="98"/>
      <c r="D52" s="98"/>
      <c r="E52" s="98"/>
    </row>
    <row r="53" spans="1:5">
      <c r="A53" s="98"/>
      <c r="B53" s="98"/>
      <c r="C53" s="98"/>
      <c r="D53" s="98"/>
      <c r="E53" s="98"/>
    </row>
    <row r="54" spans="1:5">
      <c r="A54" s="98"/>
      <c r="B54" s="98"/>
      <c r="C54" s="98"/>
      <c r="D54" s="98"/>
      <c r="E54" s="98"/>
    </row>
  </sheetData>
  <sheetProtection sheet="1" objects="1" scenarios="1"/>
  <mergeCells count="2">
    <mergeCell ref="A1:E1"/>
    <mergeCell ref="A17:E17"/>
  </mergeCells>
  <conditionalFormatting sqref="D7">
    <cfRule type="expression" dxfId="2" priority="3">
      <formula>IF(NoMod,1,0)</formula>
    </cfRule>
  </conditionalFormatting>
  <conditionalFormatting sqref="D8:D11 C7:C11">
    <cfRule type="expression" dxfId="1" priority="2">
      <formula>IF(OR(GFORB,NoMod),1,0)</formula>
    </cfRule>
  </conditionalFormatting>
  <conditionalFormatting sqref="D6:D7">
    <cfRule type="expression" dxfId="0" priority="1">
      <formula>IF(GFORB,1,0)</formula>
    </cfRule>
  </conditionalFormatting>
  <hyperlinks>
    <hyperlink ref="A17" r:id="rId1"/>
  </hyperlinks>
  <pageMargins left="0.7" right="0.7" top="0.75" bottom="0.75" header="0.3" footer="0.3"/>
  <pageSetup orientation="portrait" r:id="rId2"/>
  <headerFooter>
    <oddHeader>&amp;L&amp;"Arial,Bold"&amp;14&amp;F&amp;"Arial,Regular"&amp;10
Run on: &amp;D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L17"/>
  <sheetViews>
    <sheetView workbookViewId="0">
      <selection activeCell="H10" sqref="H10"/>
    </sheetView>
  </sheetViews>
  <sheetFormatPr defaultColWidth="8.85546875" defaultRowHeight="12.75"/>
  <cols>
    <col min="1" max="1" width="26.7109375" customWidth="1"/>
    <col min="2" max="2" width="16.7109375" customWidth="1"/>
    <col min="5" max="5" width="12.5703125" customWidth="1"/>
    <col min="6" max="6" width="16.140625" customWidth="1"/>
    <col min="7" max="7" width="13.5703125" customWidth="1"/>
    <col min="8" max="8" width="21.140625" customWidth="1"/>
    <col min="9" max="9" width="15.85546875" customWidth="1"/>
    <col min="10" max="10" width="21" customWidth="1"/>
    <col min="11" max="11" width="25.42578125" customWidth="1"/>
    <col min="12" max="12" width="11.28515625" customWidth="1"/>
  </cols>
  <sheetData>
    <row r="1" spans="1:12">
      <c r="A1" s="80" t="s">
        <v>71</v>
      </c>
      <c r="B1">
        <f ca="1">IF(AND('FHA Waterfall'!F8="Yes"),1,0)</f>
        <v>0</v>
      </c>
      <c r="E1" s="227" t="s">
        <v>129</v>
      </c>
      <c r="F1" s="227"/>
      <c r="G1" s="227"/>
      <c r="H1" s="227"/>
      <c r="I1" s="227"/>
      <c r="J1" s="227"/>
      <c r="K1" s="227"/>
      <c r="L1" s="227"/>
    </row>
    <row r="2" spans="1:12">
      <c r="A2" s="80" t="s">
        <v>72</v>
      </c>
      <c r="B2">
        <f ca="1">IF(AND(StepFour,'FHA Waterfall'!F15="No"),1,0)</f>
        <v>0</v>
      </c>
      <c r="E2" s="80"/>
      <c r="F2" s="80" t="s">
        <v>130</v>
      </c>
      <c r="G2" s="80" t="s">
        <v>131</v>
      </c>
      <c r="H2" s="80" t="s">
        <v>132</v>
      </c>
      <c r="I2" s="80" t="s">
        <v>133</v>
      </c>
      <c r="J2" s="80" t="s">
        <v>134</v>
      </c>
      <c r="K2" s="80" t="s">
        <v>135</v>
      </c>
      <c r="L2" s="80" t="s">
        <v>82</v>
      </c>
    </row>
    <row r="3" spans="1:12">
      <c r="A3" s="80" t="s">
        <v>73</v>
      </c>
      <c r="B3">
        <f ca="1">IF(AND(OR('FHA Waterfall'!F8="No",AND(StepFive,'FHA Waterfall'!F27="No"))),1,0)</f>
        <v>1</v>
      </c>
      <c r="D3">
        <v>1</v>
      </c>
      <c r="F3">
        <f ca="1">GFORB</f>
        <v>0</v>
      </c>
      <c r="G3">
        <f ca="1">GTM</f>
        <v>0</v>
      </c>
      <c r="H3">
        <f ca="1">GSAPC</f>
        <v>0</v>
      </c>
      <c r="I3">
        <f ca="1">GSAHM</f>
        <v>0</v>
      </c>
      <c r="J3">
        <f ca="1">B12</f>
        <v>0</v>
      </c>
      <c r="K3">
        <f ca="1">B13</f>
        <v>1</v>
      </c>
      <c r="L3">
        <f ca="1">NoMod</f>
        <v>0</v>
      </c>
    </row>
    <row r="4" spans="1:12">
      <c r="A4" s="80" t="s">
        <v>125</v>
      </c>
      <c r="B4">
        <f ca="1">IF(AND(StepSix,NOT(GSAPC)),1,0)</f>
        <v>1</v>
      </c>
      <c r="D4">
        <v>2</v>
      </c>
      <c r="E4" s="80" t="s">
        <v>136</v>
      </c>
      <c r="F4" s="80" t="s">
        <v>137</v>
      </c>
      <c r="G4" s="80" t="s">
        <v>146</v>
      </c>
      <c r="H4" s="80" t="s">
        <v>138</v>
      </c>
      <c r="I4" s="80" t="s">
        <v>139</v>
      </c>
      <c r="J4" s="80" t="s">
        <v>140</v>
      </c>
      <c r="K4" t="str">
        <f>J4</f>
        <v>FHA-HAMP Modification with Partial Claim</v>
      </c>
      <c r="L4" s="80" t="s">
        <v>141</v>
      </c>
    </row>
    <row r="5" spans="1:12">
      <c r="A5" s="80" t="s">
        <v>126</v>
      </c>
      <c r="B5">
        <f ca="1">IF(AND(DSAHM,NOT(GSAHM)),1,0)</f>
        <v>1</v>
      </c>
      <c r="D5">
        <v>3</v>
      </c>
      <c r="E5" s="80" t="s">
        <v>5</v>
      </c>
      <c r="G5" s="75">
        <f ca="1">'FHA Waterfall'!F24</f>
        <v>2798.4976795200173</v>
      </c>
      <c r="H5" s="75">
        <f ca="1">'Other Inputs'!E22</f>
        <v>3820.1830378632862</v>
      </c>
      <c r="I5" s="75">
        <f ca="1">'FHA Waterfall'!N21</f>
        <v>2798.4976795200173</v>
      </c>
      <c r="J5" s="74">
        <f ca="1">Target</f>
        <v>1767.9049887800895</v>
      </c>
      <c r="K5" s="75">
        <f ca="1">'FHA Waterfall'!N33</f>
        <v>2251.6887386073645</v>
      </c>
      <c r="L5" s="75">
        <f ca="1">2.5*'FHA Waterfall'!N33</f>
        <v>5629.2218465184114</v>
      </c>
    </row>
    <row r="6" spans="1:12">
      <c r="A6" s="80" t="s">
        <v>127</v>
      </c>
      <c r="B6">
        <f ca="1">IF(AND(DMPC,NOT(B12)),1,0)</f>
        <v>1</v>
      </c>
      <c r="D6">
        <v>4</v>
      </c>
      <c r="E6" s="80" t="s">
        <v>142</v>
      </c>
      <c r="G6" s="75">
        <f ca="1">G5-TIA</f>
        <v>2196.8051094358548</v>
      </c>
      <c r="H6" s="75">
        <f ca="1">H5-TIA</f>
        <v>3218.4904677791237</v>
      </c>
      <c r="I6" s="75">
        <f ca="1">I5-TIA</f>
        <v>2196.8051094358548</v>
      </c>
      <c r="J6" s="75">
        <f ca="1">J5-TIA</f>
        <v>1166.212418695927</v>
      </c>
      <c r="K6" s="75">
        <f ca="1">K5-TIA</f>
        <v>1649.996168523202</v>
      </c>
    </row>
    <row r="7" spans="1:12">
      <c r="A7" s="80"/>
      <c r="D7">
        <v>5</v>
      </c>
      <c r="E7" s="80" t="s">
        <v>143</v>
      </c>
      <c r="G7" s="74">
        <f ca="1">CAPUPB</f>
        <v>460145.52325854881</v>
      </c>
      <c r="H7" s="195">
        <f ca="1">CAPUPB-H8</f>
        <v>376101.49642555648</v>
      </c>
      <c r="I7" s="74">
        <f ca="1">CAPUPB</f>
        <v>460145.52325854881</v>
      </c>
      <c r="J7" s="75">
        <f ca="1">CAPUPB-'FHA Waterfall'!N27</f>
        <v>244276.29985313647</v>
      </c>
      <c r="K7" s="75">
        <f ca="1">CAPUPB-'FHA Waterfall'!N8</f>
        <v>345610.24420353962</v>
      </c>
    </row>
    <row r="8" spans="1:12">
      <c r="A8" s="80" t="s">
        <v>78</v>
      </c>
      <c r="B8">
        <f ca="1">IF(AND(StepFour,'FHA Waterfall'!F15="Yes"),1,0)</f>
        <v>0</v>
      </c>
      <c r="D8">
        <v>6</v>
      </c>
      <c r="E8" s="80" t="s">
        <v>79</v>
      </c>
      <c r="G8">
        <v>0</v>
      </c>
      <c r="H8" s="153">
        <f ca="1">'Other Inputs'!E30*'Other Inputs'!E22</f>
        <v>84044.026832992298</v>
      </c>
      <c r="I8">
        <v>0</v>
      </c>
      <c r="J8" s="75">
        <f ca="1">CAPUPB-J7</f>
        <v>215869.22340541234</v>
      </c>
      <c r="K8" s="75">
        <f ca="1">CAPUPB-K7</f>
        <v>114535.27905500919</v>
      </c>
    </row>
    <row r="9" spans="1:12">
      <c r="A9" s="80" t="s">
        <v>109</v>
      </c>
      <c r="B9">
        <f ca="1">IF(AND(StepFive,'FHA Waterfall'!F27="Yes"),1,0)</f>
        <v>0</v>
      </c>
      <c r="D9">
        <v>7</v>
      </c>
      <c r="E9" s="80" t="s">
        <v>144</v>
      </c>
      <c r="G9">
        <f>Market</f>
        <v>0.04</v>
      </c>
      <c r="H9">
        <f>rate</f>
        <v>0.09</v>
      </c>
      <c r="I9">
        <f>Market</f>
        <v>0.04</v>
      </c>
      <c r="J9">
        <f>Market</f>
        <v>0.04</v>
      </c>
      <c r="K9">
        <f>Market</f>
        <v>0.04</v>
      </c>
    </row>
    <row r="10" spans="1:12">
      <c r="A10" s="80" t="s">
        <v>76</v>
      </c>
      <c r="B10">
        <f ca="1">IF(AND(StepSix,'FHA Waterfall'!N15="Yes"),1,0)</f>
        <v>0</v>
      </c>
      <c r="D10">
        <v>8</v>
      </c>
      <c r="E10" s="80" t="s">
        <v>145</v>
      </c>
      <c r="G10">
        <v>360</v>
      </c>
      <c r="H10">
        <f ca="1">LOANTERM-ROUNDUP(DAYS360(FPAY,TODAY)/30,0)</f>
        <v>273</v>
      </c>
      <c r="I10">
        <v>360</v>
      </c>
      <c r="J10">
        <v>360</v>
      </c>
      <c r="K10">
        <v>360</v>
      </c>
    </row>
    <row r="11" spans="1:12">
      <c r="A11" s="80" t="s">
        <v>124</v>
      </c>
      <c r="B11">
        <f ca="1">IF(AND(B4,'FHA Waterfall'!N22="Yes"),1,0)</f>
        <v>0</v>
      </c>
    </row>
    <row r="12" spans="1:12">
      <c r="A12" s="80" t="s">
        <v>75</v>
      </c>
      <c r="B12">
        <f ca="1">IF(AND(DMPC,'FHA Waterfall'!N29="Yes"),1,0)</f>
        <v>0</v>
      </c>
    </row>
    <row r="13" spans="1:12">
      <c r="A13" s="80" t="s">
        <v>77</v>
      </c>
      <c r="B13">
        <f ca="1">IF(AND(DMWIP,'FHA Waterfall'!N35="Yes"),1,0)</f>
        <v>1</v>
      </c>
    </row>
    <row r="14" spans="1:12">
      <c r="A14" s="80" t="s">
        <v>82</v>
      </c>
      <c r="B14">
        <f ca="1">IF(SUM(B8:B13)=0,1,0)</f>
        <v>0</v>
      </c>
    </row>
    <row r="15" spans="1:12">
      <c r="A15" s="80"/>
    </row>
    <row r="17" spans="1:2">
      <c r="A17" s="80" t="s">
        <v>122</v>
      </c>
      <c r="B17">
        <f>IF(Payoff="Only Default Date",1,IF(Payoff="UPB at Default",2,IF(Payoff="Capitalized UPB",3)))</f>
        <v>1</v>
      </c>
    </row>
  </sheetData>
  <mergeCells count="1">
    <mergeCell ref="E1:L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40</vt:i4>
      </vt:variant>
    </vt:vector>
  </HeadingPairs>
  <TitlesOfParts>
    <vt:vector size="46" baseType="lpstr">
      <vt:lpstr>Budget</vt:lpstr>
      <vt:lpstr>Other Inputs</vt:lpstr>
      <vt:lpstr>FHA Waterfall</vt:lpstr>
      <vt:lpstr>MIP Calculator</vt:lpstr>
      <vt:lpstr>Workout Result</vt:lpstr>
      <vt:lpstr>Data Validation</vt:lpstr>
      <vt:lpstr>CAPUPB</vt:lpstr>
      <vt:lpstr>DDate</vt:lpstr>
      <vt:lpstr>DMPC</vt:lpstr>
      <vt:lpstr>DMWIP</vt:lpstr>
      <vt:lpstr>DSAHM</vt:lpstr>
      <vt:lpstr>DUPB</vt:lpstr>
      <vt:lpstr>FPAY</vt:lpstr>
      <vt:lpstr>GFORB</vt:lpstr>
      <vt:lpstr>GMI</vt:lpstr>
      <vt:lpstr>GSAHM</vt:lpstr>
      <vt:lpstr>GSAPC</vt:lpstr>
      <vt:lpstr>GTM</vt:lpstr>
      <vt:lpstr>infotype</vt:lpstr>
      <vt:lpstr>LOANTERM</vt:lpstr>
      <vt:lpstr>Market</vt:lpstr>
      <vt:lpstr>MIP</vt:lpstr>
      <vt:lpstr>MIPFIN</vt:lpstr>
      <vt:lpstr>MIPMATRIX</vt:lpstr>
      <vt:lpstr>MIPRATE</vt:lpstr>
      <vt:lpstr>NoMod</vt:lpstr>
      <vt:lpstr>NPRINC</vt:lpstr>
      <vt:lpstr>NRATE</vt:lpstr>
      <vt:lpstr>NTERM</vt:lpstr>
      <vt:lpstr>OPRINC</vt:lpstr>
      <vt:lpstr>ORATE</vt:lpstr>
      <vt:lpstr>OutcomeMatrix</vt:lpstr>
      <vt:lpstr>OVALUE</vt:lpstr>
      <vt:lpstr>Payoff</vt:lpstr>
      <vt:lpstr>'FHA Waterfall'!Print_Area</vt:lpstr>
      <vt:lpstr>rate</vt:lpstr>
      <vt:lpstr>StepFive</vt:lpstr>
      <vt:lpstr>StepFour</vt:lpstr>
      <vt:lpstr>StepSix</vt:lpstr>
      <vt:lpstr>Target</vt:lpstr>
      <vt:lpstr>'Other Inputs'!TERM</vt:lpstr>
      <vt:lpstr>'FHA Waterfall'!Test</vt:lpstr>
      <vt:lpstr>Budget!TIA</vt:lpstr>
      <vt:lpstr>TIA</vt:lpstr>
      <vt:lpstr>TODAY</vt:lpstr>
      <vt:lpstr>UFMIPRATE</vt:lpstr>
    </vt:vector>
  </TitlesOfParts>
  <Company>Eastside Community Development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Jacobs-Smith &amp; Joseph Rebella</dc:creator>
  <cp:lastModifiedBy>Joseph Rebella</cp:lastModifiedBy>
  <cp:lastPrinted>2013-09-03T22:21:10Z</cp:lastPrinted>
  <dcterms:created xsi:type="dcterms:W3CDTF">2010-03-17T18:01:29Z</dcterms:created>
  <dcterms:modified xsi:type="dcterms:W3CDTF">2015-03-13T19:44:29Z</dcterms:modified>
</cp:coreProperties>
</file>