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fylegal.sharepoint.com/sites/SDrive-Shared/Shared Documents/General/Staff Folders/Joseph/HAF Calculators/"/>
    </mc:Choice>
  </mc:AlternateContent>
  <xr:revisionPtr revIDLastSave="58" documentId="8_{D19EBE7E-B3E9-4F19-8702-831BD8636798}" xr6:coauthVersionLast="47" xr6:coauthVersionMax="47" xr10:uidLastSave="{3CD8107C-A62E-4428-AD49-9B5E6C6110A6}"/>
  <bookViews>
    <workbookView xWindow="28680" yWindow="-120" windowWidth="29040" windowHeight="15840" xr2:uid="{00000000-000D-0000-FFFF-FFFF00000000}"/>
  </bookViews>
  <sheets>
    <sheet name="Inputs" sheetId="8" r:id="rId1"/>
    <sheet name="Outcome" sheetId="15" r:id="rId2"/>
    <sheet name="MIP Calculator" sheetId="13" state="hidden" r:id="rId3"/>
    <sheet name="Workout Result" sheetId="11" state="hidden" r:id="rId4"/>
    <sheet name="Data Validation" sheetId="14" state="hidden" r:id="rId5"/>
  </sheets>
  <definedNames>
    <definedName name="CAPUPB">'Data Validation'!$B$20</definedName>
    <definedName name="DDate">Inputs!$E$24</definedName>
    <definedName name="DIPMT">'Data Validation'!#REF!</definedName>
    <definedName name="DMPC">'Data Validation'!$B$5</definedName>
    <definedName name="DMWIP">'Data Validation'!$B$6</definedName>
    <definedName name="DSAHM">'Data Validation'!$B$4</definedName>
    <definedName name="DSAM">'Data Validation'!#REF!</definedName>
    <definedName name="DSAPC">'Data Validation'!#REF!</definedName>
    <definedName name="DSAPM">'Data Validation'!#REF!</definedName>
    <definedName name="DUPB">Inputs!$E$27</definedName>
    <definedName name="EMPC">'Data Validation'!#REF!</definedName>
    <definedName name="ESCROW">Inputs!$E$13:$E$16</definedName>
    <definedName name="FPAY">Inputs!$E$12</definedName>
    <definedName name="GFORB">'Data Validation'!$B$8</definedName>
    <definedName name="GIPMT">'Data Validation'!#REF!</definedName>
    <definedName name="GMI">Inputs!$M$35</definedName>
    <definedName name="GMPC">'Data Validation'!#REF!</definedName>
    <definedName name="GMPCAD">'Data Validation'!#REF!</definedName>
    <definedName name="GSAHM">'Data Validation'!$B$11</definedName>
    <definedName name="GSAM">'Data Validation'!#REF!</definedName>
    <definedName name="GSAPC">'Data Validation'!$B$10</definedName>
    <definedName name="GTM">'Data Validation'!$B$9</definedName>
    <definedName name="HAF">Outcome!$K$9</definedName>
    <definedName name="infotype">'Data Validation'!$B$17</definedName>
    <definedName name="LOANTERM">Inputs!$E$11</definedName>
    <definedName name="Market">Inputs!$E$40</definedName>
    <definedName name="MIP">'MIP Calculator'!$C$7</definedName>
    <definedName name="MIPMATRIX">'MIP Calculator'!$E$2:$L$5</definedName>
    <definedName name="MIPRATE">'MIP Calculator'!$A$18</definedName>
    <definedName name="NoMod">'Data Validation'!$B$14</definedName>
    <definedName name="nper" localSheetId="0">Inputs!TERM*12</definedName>
    <definedName name="nper">term*12</definedName>
    <definedName name="OPRINC">Inputs!$E$10</definedName>
    <definedName name="ORATE">Inputs!#REF!</definedName>
    <definedName name="OutcomeMatrix">'Data Validation'!$E$3:$L$10</definedName>
    <definedName name="OVALUE">Inputs!#REF!</definedName>
    <definedName name="Payoff">Inputs!$E$21</definedName>
    <definedName name="PTM">'Data Validation'!#REF!</definedName>
    <definedName name="rate">Inputs!$E$9</definedName>
    <definedName name="RateType">#REF!</definedName>
    <definedName name="Reinstate">'Data Validation'!$H$17</definedName>
    <definedName name="Rental">#REF!</definedName>
    <definedName name="Servicer">#REF!</definedName>
    <definedName name="StepFive">'Data Validation'!$B$2</definedName>
    <definedName name="StepFour">'Data Validation'!$B$1</definedName>
    <definedName name="StepSix">'Data Validation'!$B$3</definedName>
    <definedName name="StepThree">'Data Validation'!#REF!</definedName>
    <definedName name="T2DEBT">#REF!</definedName>
    <definedName name="Target">#REF!</definedName>
    <definedName name="TERM" localSheetId="0">Inputs!$E$11</definedName>
    <definedName name="term">#REF!</definedName>
    <definedName name="Test">#REF!</definedName>
    <definedName name="TIA">Inputs!$F$22</definedName>
    <definedName name="TODAY">Inputs!$E$25</definedName>
    <definedName name="TYPE">#REF!</definedName>
    <definedName name="UFMIPRATE">'MIP Calculator'!$B$18</definedName>
    <definedName name="UPB">Inputs!$E$36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E23" i="8"/>
  <c r="E17" i="8"/>
  <c r="B8" i="8"/>
  <c r="M31" i="8" l="1"/>
  <c r="M28" i="8"/>
  <c r="I26" i="8"/>
  <c r="N20" i="8"/>
  <c r="L19" i="8"/>
  <c r="M18" i="8"/>
  <c r="M20" i="8" s="1"/>
  <c r="M16" i="8"/>
  <c r="M13" i="8"/>
  <c r="M9" i="8"/>
  <c r="I7" i="8"/>
  <c r="M33" i="8" l="1"/>
  <c r="M22" i="8"/>
  <c r="M35" i="8" s="1"/>
  <c r="F20" i="14" s="1"/>
  <c r="C8" i="15" l="1"/>
  <c r="C7" i="15"/>
  <c r="E40" i="8" l="1"/>
  <c r="B9" i="14"/>
  <c r="B44" i="8"/>
  <c r="K16" i="15" l="1"/>
  <c r="F21" i="14"/>
  <c r="F29" i="15"/>
  <c r="C20" i="15"/>
  <c r="F4" i="13"/>
  <c r="L2" i="13"/>
  <c r="H2" i="13"/>
  <c r="I2" i="13"/>
  <c r="J2" i="13"/>
  <c r="K2" i="13"/>
  <c r="G2" i="13"/>
  <c r="F2" i="13"/>
  <c r="B39" i="8"/>
  <c r="F21" i="15"/>
  <c r="H9" i="14"/>
  <c r="K4" i="14"/>
  <c r="E25" i="8"/>
  <c r="E18" i="8" l="1"/>
  <c r="B18" i="13"/>
  <c r="C10" i="13" s="1"/>
  <c r="E26" i="8"/>
  <c r="F8" i="15" s="1"/>
  <c r="H10" i="14"/>
  <c r="J20" i="14" l="1"/>
  <c r="K25" i="15"/>
  <c r="E32" i="8"/>
  <c r="E28" i="8"/>
  <c r="E30" i="8"/>
  <c r="E29" i="8"/>
  <c r="B17" i="14"/>
  <c r="E27" i="8" l="1"/>
  <c r="B22" i="8"/>
  <c r="B27" i="8"/>
  <c r="B31" i="8"/>
  <c r="B32" i="8"/>
  <c r="B23" i="8"/>
  <c r="B34" i="8"/>
  <c r="B33" i="8"/>
  <c r="B30" i="8"/>
  <c r="B29" i="8"/>
  <c r="B28" i="8"/>
  <c r="B26" i="8"/>
  <c r="B25" i="8"/>
  <c r="B2" i="13"/>
  <c r="E45" i="8" l="1"/>
  <c r="F9" i="15" s="1"/>
  <c r="K5" i="13"/>
  <c r="H5" i="13"/>
  <c r="J5" i="13"/>
  <c r="E31" i="8"/>
  <c r="F5" i="13"/>
  <c r="C16" i="13"/>
  <c r="I5" i="13"/>
  <c r="G5" i="13"/>
  <c r="C13" i="13"/>
  <c r="L5" i="13" s="1"/>
  <c r="J9" i="14"/>
  <c r="K9" i="14"/>
  <c r="I9" i="14"/>
  <c r="G9" i="14"/>
  <c r="B1" i="13"/>
  <c r="A4" i="13" s="1"/>
  <c r="J22" i="14" l="1"/>
  <c r="K24" i="15"/>
  <c r="K4" i="15"/>
  <c r="J24" i="14"/>
  <c r="J21" i="14"/>
  <c r="F16" i="15"/>
  <c r="L4" i="13"/>
  <c r="K4" i="13"/>
  <c r="A18" i="13" s="1"/>
  <c r="J4" i="13"/>
  <c r="I4" i="13"/>
  <c r="H4" i="13"/>
  <c r="G4" i="13"/>
  <c r="B4" i="13"/>
  <c r="A5" i="13"/>
  <c r="B5" i="13" s="1"/>
  <c r="A6" i="13" l="1"/>
  <c r="B6" i="13" s="1"/>
  <c r="A7" i="13" l="1"/>
  <c r="B7" i="13" s="1"/>
  <c r="A8" i="13" l="1"/>
  <c r="A9" i="13" l="1"/>
  <c r="B8" i="13"/>
  <c r="B9" i="13" l="1"/>
  <c r="A10" i="13"/>
  <c r="B10" i="13" l="1"/>
  <c r="A11" i="13"/>
  <c r="B11" i="13" l="1"/>
  <c r="A12" i="13"/>
  <c r="B12" i="13" l="1"/>
  <c r="A13" i="13"/>
  <c r="B13" i="13" l="1"/>
  <c r="A14" i="13"/>
  <c r="B14" i="13" l="1"/>
  <c r="A15" i="13"/>
  <c r="B15" i="13" s="1"/>
  <c r="C4" i="13" l="1"/>
  <c r="C7" i="13" s="1"/>
  <c r="E34" i="8" l="1"/>
  <c r="F17" i="15" l="1"/>
  <c r="F18" i="15" s="1"/>
  <c r="F23" i="15" s="1"/>
  <c r="E36" i="8"/>
  <c r="H17" i="14"/>
  <c r="B11" i="15" s="1"/>
  <c r="F19" i="15" l="1"/>
  <c r="F20" i="15" s="1"/>
  <c r="F22" i="15" s="1"/>
  <c r="F24" i="15" s="1"/>
  <c r="F27" i="15" s="1"/>
  <c r="B20" i="14"/>
  <c r="F22" i="8"/>
  <c r="H8" i="14"/>
  <c r="H5" i="14"/>
  <c r="F28" i="15" l="1"/>
  <c r="K15" i="15" s="1"/>
  <c r="K18" i="15" s="1"/>
  <c r="K14" i="15"/>
  <c r="I5" i="14"/>
  <c r="I6" i="14" s="1"/>
  <c r="H7" i="14"/>
  <c r="H6" i="14"/>
  <c r="I7" i="14"/>
  <c r="K7" i="14"/>
  <c r="K8" i="14" s="1"/>
  <c r="K5" i="14"/>
  <c r="K6" i="14" s="1"/>
  <c r="J7" i="14"/>
  <c r="J8" i="14" s="1"/>
  <c r="G5" i="14"/>
  <c r="G6" i="14" s="1"/>
  <c r="G7" i="14"/>
  <c r="J5" i="14"/>
  <c r="J6" i="14" s="1"/>
  <c r="J19" i="14" l="1"/>
  <c r="F31" i="15"/>
  <c r="B1" i="14"/>
  <c r="B2" i="14" s="1"/>
  <c r="B3" i="14" s="1"/>
  <c r="L5" i="14"/>
  <c r="J26" i="14" l="1"/>
  <c r="K19" i="15"/>
  <c r="K20" i="15" s="1"/>
  <c r="F32" i="15"/>
  <c r="F19" i="14" s="1"/>
  <c r="B8" i="14"/>
  <c r="F22" i="14" l="1"/>
  <c r="K5" i="15"/>
  <c r="F3" i="14"/>
  <c r="G3" i="14"/>
  <c r="B10" i="14"/>
  <c r="K7" i="15" l="1"/>
  <c r="H3" i="14"/>
  <c r="B4" i="14"/>
  <c r="B11" i="14" l="1"/>
  <c r="B5" i="14" s="1"/>
  <c r="I3" i="14" l="1"/>
  <c r="B12" i="14" l="1"/>
  <c r="J3" i="14" s="1"/>
  <c r="B6" i="14" l="1"/>
  <c r="B13" i="14" l="1"/>
  <c r="K3" i="14" s="1"/>
  <c r="B14" i="14" l="1"/>
  <c r="L3" i="14" l="1"/>
</calcChain>
</file>

<file path=xl/sharedStrings.xml><?xml version="1.0" encoding="utf-8"?>
<sst xmlns="http://schemas.openxmlformats.org/spreadsheetml/2006/main" count="158" uniqueCount="135">
  <si>
    <t>PITIA</t>
  </si>
  <si>
    <t>MORTGAGE INFORMATION</t>
  </si>
  <si>
    <t>Loan Terms</t>
  </si>
  <si>
    <t>Original Principal</t>
  </si>
  <si>
    <t>Market Interest Rate</t>
  </si>
  <si>
    <t>Date of First Payment</t>
  </si>
  <si>
    <t>Monthly MIP</t>
  </si>
  <si>
    <t>Average Principal</t>
  </si>
  <si>
    <t>Principal</t>
  </si>
  <si>
    <t>Month #</t>
  </si>
  <si>
    <t>Year of Mortgage:</t>
  </si>
  <si>
    <t>Principal &amp; Interest</t>
  </si>
  <si>
    <t>Result</t>
  </si>
  <si>
    <t>Previous Partial Claims</t>
  </si>
  <si>
    <t>Step Four</t>
  </si>
  <si>
    <t>Step Five</t>
  </si>
  <si>
    <t>Step Six</t>
  </si>
  <si>
    <t>Get mod w/ PC</t>
  </si>
  <si>
    <t>Get SAPC</t>
  </si>
  <si>
    <t>Get mod w/ increased pmt</t>
  </si>
  <si>
    <t>Get 6 mo forbearance</t>
  </si>
  <si>
    <t>Partial Claim</t>
  </si>
  <si>
    <t>No Mod</t>
  </si>
  <si>
    <t>FHA WORKOUT TERMS</t>
  </si>
  <si>
    <t>Loan Type</t>
  </si>
  <si>
    <t>Market Rate (rounded to nearest 1/8)</t>
  </si>
  <si>
    <t>Term (in months)</t>
  </si>
  <si>
    <t>Amount of Any Previous Partial Claims</t>
  </si>
  <si>
    <t>Get traditional mod</t>
  </si>
  <si>
    <t>MFY Legal Services, Inc.'s Proprietary FHA Waterfall Worksheet</t>
  </si>
  <si>
    <t>Current with FAQ for ML 2013-32</t>
  </si>
  <si>
    <t>Current Interest Rate</t>
  </si>
  <si>
    <t>MIP RATE</t>
  </si>
  <si>
    <t>Monthly Property Taxes</t>
  </si>
  <si>
    <t>Monthly Homeowner's Insurance</t>
  </si>
  <si>
    <t>Monthly Association Fees</t>
  </si>
  <si>
    <t>UPB Information:</t>
  </si>
  <si>
    <t>Determine Data Type</t>
  </si>
  <si>
    <t>Arrears and Unpaid Principal Balance</t>
  </si>
  <si>
    <t>Get SAHM</t>
  </si>
  <si>
    <t>Do SAHM Analysis?</t>
  </si>
  <si>
    <t>Do MWPC Analysis?</t>
  </si>
  <si>
    <t>Do MWIP Analysis?</t>
  </si>
  <si>
    <t>OUTCOME MATRIX</t>
  </si>
  <si>
    <t>Forbearance</t>
  </si>
  <si>
    <t>Traditional Mod</t>
  </si>
  <si>
    <t>Stand Alone PC</t>
  </si>
  <si>
    <t>Stand Alone Mod</t>
  </si>
  <si>
    <t>Mod with PC</t>
  </si>
  <si>
    <t>Mod with Increased Payment</t>
  </si>
  <si>
    <t>Message</t>
  </si>
  <si>
    <t>Six Month Forbearance</t>
  </si>
  <si>
    <t>Stand Alone Partial Claim</t>
  </si>
  <si>
    <t>Stand Alone FHA-HAMP Modification</t>
  </si>
  <si>
    <t>FHA-HAMP Modification with Partial Claim</t>
  </si>
  <si>
    <t>Not Eligible: DTI Exceeds 40%</t>
  </si>
  <si>
    <t>P&amp;I</t>
  </si>
  <si>
    <t>Int Bear Princ.</t>
  </si>
  <si>
    <t>Rate</t>
  </si>
  <si>
    <t>Term</t>
  </si>
  <si>
    <t>FHA Traditional Loan Modification</t>
  </si>
  <si>
    <t>Upfront MIP Rate</t>
  </si>
  <si>
    <t>Annual MIP Rate</t>
  </si>
  <si>
    <t>Purchase LTV</t>
  </si>
  <si>
    <t>Current LTV</t>
  </si>
  <si>
    <t>Upfront MIP</t>
  </si>
  <si>
    <t>Present</t>
  </si>
  <si>
    <t>Annual MIP</t>
  </si>
  <si>
    <t>Upfront MIP Financed</t>
  </si>
  <si>
    <t>In effect?</t>
  </si>
  <si>
    <t>Default Date</t>
  </si>
  <si>
    <t>Capitalized UPB</t>
  </si>
  <si>
    <t>P&amp;I Payment</t>
  </si>
  <si>
    <t>COVID-19 Recovery Standalone Partial Claim</t>
  </si>
  <si>
    <t>Available Partial Claim</t>
  </si>
  <si>
    <t>COVID-19 Recovery Modification</t>
  </si>
  <si>
    <t>Evaluation</t>
  </si>
  <si>
    <t>COVID-19 RECOVERY WATERFALL</t>
  </si>
  <si>
    <t>Partial Claim Available for Further Deferment</t>
  </si>
  <si>
    <t>Amortizing Balance</t>
  </si>
  <si>
    <t>Principal and Interest Payment</t>
  </si>
  <si>
    <t>Apply Partial Claim</t>
  </si>
  <si>
    <t>Resulting Balance</t>
  </si>
  <si>
    <t>Target P&amp;I Payment  (25% Reduction)</t>
  </si>
  <si>
    <t>Deferment Required to Meet Target</t>
  </si>
  <si>
    <t>Resulting Further Deferment</t>
  </si>
  <si>
    <t>Calculate Available Partial Claim</t>
  </si>
  <si>
    <t>Calculate Accured Arrears</t>
  </si>
  <si>
    <t>PITIA Payment</t>
  </si>
  <si>
    <t>Known Reinstatement Amount?</t>
  </si>
  <si>
    <t>MIP</t>
  </si>
  <si>
    <t>Step 4:</t>
  </si>
  <si>
    <t>Step 1:</t>
  </si>
  <si>
    <t>Step 2:</t>
  </si>
  <si>
    <t>Step 3:</t>
  </si>
  <si>
    <t>Borrower Gross Monthly Income</t>
  </si>
  <si>
    <t>Timing of Employment Income</t>
  </si>
  <si>
    <t>Employment Income</t>
  </si>
  <si>
    <t>Monthly Employment Income</t>
  </si>
  <si>
    <t>Monthly Contribution</t>
  </si>
  <si>
    <t>Monthly Fixed Income</t>
  </si>
  <si>
    <t>Monthly Untaxed Income</t>
  </si>
  <si>
    <t>Grossed up</t>
  </si>
  <si>
    <t>Rental income</t>
  </si>
  <si>
    <t>Primary Residence</t>
  </si>
  <si>
    <t>Reduced by 25%</t>
  </si>
  <si>
    <t>Rental Property</t>
  </si>
  <si>
    <t>Subtotal</t>
  </si>
  <si>
    <t>Co-Borrower</t>
  </si>
  <si>
    <t>Gross Monthly Income</t>
  </si>
  <si>
    <t>BORROWER INFORMATION</t>
  </si>
  <si>
    <t>Target PMT</t>
  </si>
  <si>
    <t>Target UPB</t>
  </si>
  <si>
    <t>Difference</t>
  </si>
  <si>
    <t>HAF</t>
  </si>
  <si>
    <t>HTI</t>
  </si>
  <si>
    <t>HAF?</t>
  </si>
  <si>
    <t>HTI: Recovery Modification</t>
  </si>
  <si>
    <t>HTI: Standalone</t>
  </si>
  <si>
    <t>Recommended HAF</t>
  </si>
  <si>
    <t>Current Better than HAF Mod</t>
  </si>
  <si>
    <t>Current Payment Affordable</t>
  </si>
  <si>
    <t>Not Already Eligible for SAPC</t>
  </si>
  <si>
    <t>Award</t>
  </si>
  <si>
    <t>Recovery Modification with HAF</t>
  </si>
  <si>
    <t>Standalone Partial Claim with HAF</t>
  </si>
  <si>
    <t>RECOVERY WATERFALL WITH HAF</t>
  </si>
  <si>
    <t>HAF Enough for SAPC</t>
  </si>
  <si>
    <t>Show SAPC</t>
  </si>
  <si>
    <t>FHA HAF CALCULATOR</t>
  </si>
  <si>
    <t>Monthly</t>
  </si>
  <si>
    <t>View Type</t>
  </si>
  <si>
    <t>Mortgage Statement</t>
  </si>
  <si>
    <t>ARM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</si>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</sst>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[$$-409]* #,##0.00_);_([$$-409]* \(#,##0.00\);_([$$-409]* &quot;-&quot;??_);_(@_)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Verdana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b/>
      <sz val="12"/>
      <name val="Ariel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1"/>
      <name val="Arial"/>
      <family val="2"/>
    </font>
    <font>
      <i/>
      <sz val="9"/>
      <name val="Times New Roman"/>
      <family val="1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15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5" xfId="0" applyBorder="1"/>
    <xf numFmtId="0" fontId="5" fillId="0" borderId="0" xfId="0" applyFont="1" applyBorder="1"/>
    <xf numFmtId="0" fontId="6" fillId="0" borderId="0" xfId="0" applyFont="1" applyFill="1" applyBorder="1"/>
    <xf numFmtId="0" fontId="0" fillId="0" borderId="0" xfId="0" applyFont="1" applyFill="1" applyBorder="1"/>
    <xf numFmtId="43" fontId="1" fillId="0" borderId="0" xfId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9" fillId="5" borderId="0" xfId="0" applyFont="1" applyFill="1" applyBorder="1" applyAlignment="1">
      <alignment horizontal="center"/>
    </xf>
    <xf numFmtId="44" fontId="1" fillId="4" borderId="6" xfId="2" applyFill="1" applyBorder="1" applyAlignment="1" applyProtection="1">
      <protection locked="0"/>
    </xf>
    <xf numFmtId="164" fontId="1" fillId="4" borderId="6" xfId="1" applyNumberFormat="1" applyFill="1" applyBorder="1" applyAlignment="1" applyProtection="1">
      <alignment horizontal="right"/>
      <protection locked="0"/>
    </xf>
    <xf numFmtId="44" fontId="1" fillId="3" borderId="6" xfId="2" applyFill="1" applyBorder="1" applyAlignment="1" applyProtection="1">
      <alignment horizontal="left"/>
      <protection locked="0"/>
    </xf>
    <xf numFmtId="0" fontId="8" fillId="0" borderId="0" xfId="0" applyFont="1" applyBorder="1"/>
    <xf numFmtId="0" fontId="0" fillId="0" borderId="7" xfId="0" applyBorder="1"/>
    <xf numFmtId="44" fontId="15" fillId="0" borderId="0" xfId="0" applyNumberFormat="1" applyFont="1" applyBorder="1"/>
    <xf numFmtId="0" fontId="0" fillId="0" borderId="0" xfId="0" applyBorder="1" applyProtection="1">
      <protection locked="0"/>
    </xf>
    <xf numFmtId="165" fontId="1" fillId="4" borderId="6" xfId="4" applyNumberFormat="1" applyFill="1" applyBorder="1" applyAlignment="1" applyProtection="1">
      <alignment horizontal="right"/>
      <protection locked="0"/>
    </xf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5" borderId="0" xfId="0" applyFill="1"/>
    <xf numFmtId="44" fontId="0" fillId="0" borderId="0" xfId="0" applyNumberFormat="1" applyBorder="1"/>
    <xf numFmtId="0" fontId="0" fillId="5" borderId="3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5" xfId="0" applyFill="1" applyBorder="1"/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 applyProtection="1">
      <alignment horizontal="right" vertical="center"/>
      <protection locked="0"/>
    </xf>
    <xf numFmtId="0" fontId="15" fillId="5" borderId="2" xfId="0" applyFont="1" applyFill="1" applyBorder="1"/>
    <xf numFmtId="44" fontId="16" fillId="4" borderId="6" xfId="2" applyNumberFormat="1" applyFont="1" applyFill="1" applyBorder="1" applyAlignment="1" applyProtection="1">
      <alignment horizontal="left" vertical="center"/>
      <protection locked="0"/>
    </xf>
    <xf numFmtId="44" fontId="1" fillId="4" borderId="6" xfId="1" applyNumberFormat="1" applyFill="1" applyBorder="1" applyProtection="1">
      <protection locked="0"/>
    </xf>
    <xf numFmtId="0" fontId="0" fillId="0" borderId="14" xfId="0" applyBorder="1"/>
    <xf numFmtId="0" fontId="0" fillId="0" borderId="1" xfId="0" applyFill="1" applyBorder="1"/>
    <xf numFmtId="0" fontId="11" fillId="0" borderId="7" xfId="0" applyFont="1" applyBorder="1" applyAlignment="1">
      <alignment horizontal="center"/>
    </xf>
    <xf numFmtId="8" fontId="0" fillId="0" borderId="0" xfId="0" applyNumberFormat="1"/>
    <xf numFmtId="10" fontId="1" fillId="3" borderId="6" xfId="4" applyNumberFormat="1" applyFont="1" applyFill="1" applyBorder="1" applyProtection="1">
      <protection locked="0"/>
    </xf>
    <xf numFmtId="165" fontId="3" fillId="2" borderId="6" xfId="0" applyNumberFormat="1" applyFont="1" applyFill="1" applyBorder="1"/>
    <xf numFmtId="0" fontId="19" fillId="0" borderId="0" xfId="0" applyFont="1" applyBorder="1"/>
    <xf numFmtId="0" fontId="6" fillId="0" borderId="0" xfId="0" applyFont="1" applyFill="1" applyBorder="1" applyAlignment="1">
      <alignment horizontal="right"/>
    </xf>
    <xf numFmtId="0" fontId="2" fillId="0" borderId="5" xfId="0" applyFont="1" applyBorder="1"/>
    <xf numFmtId="0" fontId="12" fillId="0" borderId="12" xfId="0" applyFont="1" applyFill="1" applyBorder="1" applyAlignment="1">
      <alignment horizontal="right"/>
    </xf>
    <xf numFmtId="0" fontId="12" fillId="0" borderId="4" xfId="0" applyFont="1" applyBorder="1"/>
    <xf numFmtId="9" fontId="0" fillId="0" borderId="0" xfId="4" applyFont="1"/>
    <xf numFmtId="0" fontId="1" fillId="0" borderId="0" xfId="9" applyFill="1" applyBorder="1"/>
    <xf numFmtId="0" fontId="1" fillId="0" borderId="3" xfId="9" applyBorder="1"/>
    <xf numFmtId="0" fontId="3" fillId="0" borderId="0" xfId="9" applyFont="1" applyFill="1" applyBorder="1"/>
    <xf numFmtId="0" fontId="15" fillId="5" borderId="2" xfId="9" applyFont="1" applyFill="1" applyBorder="1"/>
    <xf numFmtId="0" fontId="1" fillId="0" borderId="0" xfId="10" applyFill="1" applyBorder="1"/>
    <xf numFmtId="0" fontId="3" fillId="0" borderId="0" xfId="10" applyFont="1" applyFill="1" applyBorder="1"/>
    <xf numFmtId="14" fontId="1" fillId="3" borderId="6" xfId="1" applyNumberFormat="1" applyFill="1" applyBorder="1" applyProtection="1">
      <protection locked="0"/>
    </xf>
    <xf numFmtId="1" fontId="1" fillId="2" borderId="6" xfId="1" applyNumberFormat="1" applyFill="1" applyBorder="1"/>
    <xf numFmtId="44" fontId="1" fillId="3" borderId="6" xfId="2" applyFill="1" applyBorder="1" applyAlignment="1" applyProtection="1">
      <protection locked="0"/>
    </xf>
    <xf numFmtId="0" fontId="1" fillId="0" borderId="0" xfId="10" applyFont="1" applyFill="1" applyBorder="1"/>
    <xf numFmtId="44" fontId="1" fillId="2" borderId="6" xfId="2" applyFill="1" applyBorder="1" applyAlignment="1"/>
    <xf numFmtId="0" fontId="1" fillId="4" borderId="6" xfId="10" applyFill="1" applyBorder="1" applyAlignment="1" applyProtection="1">
      <alignment horizontal="right"/>
      <protection locked="0"/>
    </xf>
    <xf numFmtId="14" fontId="1" fillId="2" borderId="13" xfId="1" applyNumberFormat="1" applyFill="1" applyBorder="1"/>
    <xf numFmtId="0" fontId="1" fillId="0" borderId="0" xfId="10" applyBorder="1"/>
    <xf numFmtId="44" fontId="0" fillId="4" borderId="6" xfId="2" applyFont="1" applyFill="1" applyBorder="1" applyAlignment="1" applyProtection="1">
      <alignment horizontal="left"/>
      <protection locked="0"/>
    </xf>
    <xf numFmtId="44" fontId="0" fillId="8" borderId="11" xfId="2" applyFont="1" applyFill="1" applyBorder="1" applyAlignment="1" applyProtection="1">
      <alignment horizontal="right"/>
    </xf>
    <xf numFmtId="8" fontId="0" fillId="0" borderId="0" xfId="2" applyNumberFormat="1" applyFont="1"/>
    <xf numFmtId="10" fontId="0" fillId="0" borderId="0" xfId="4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44" fontId="1" fillId="4" borderId="6" xfId="2" applyFont="1" applyFill="1" applyBorder="1" applyProtection="1">
      <protection locked="0"/>
    </xf>
    <xf numFmtId="44" fontId="1" fillId="0" borderId="0" xfId="0" applyNumberFormat="1" applyFont="1"/>
    <xf numFmtId="0" fontId="1" fillId="0" borderId="0" xfId="10" applyFont="1" applyBorder="1"/>
    <xf numFmtId="0" fontId="1" fillId="0" borderId="0" xfId="10" applyFont="1" applyBorder="1" applyAlignment="1"/>
    <xf numFmtId="9" fontId="1" fillId="0" borderId="0" xfId="10" applyNumberFormat="1" applyBorder="1"/>
    <xf numFmtId="0" fontId="0" fillId="0" borderId="14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3" xfId="0" applyFill="1" applyBorder="1"/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4" xfId="0" applyBorder="1"/>
    <xf numFmtId="44" fontId="0" fillId="6" borderId="6" xfId="0" applyNumberFormat="1" applyFill="1" applyBorder="1"/>
    <xf numFmtId="44" fontId="0" fillId="6" borderId="6" xfId="2" applyFont="1" applyFill="1" applyBorder="1"/>
    <xf numFmtId="10" fontId="0" fillId="6" borderId="6" xfId="4" applyNumberFormat="1" applyFont="1" applyFill="1" applyBorder="1"/>
    <xf numFmtId="0" fontId="21" fillId="0" borderId="0" xfId="0" applyFont="1" applyFill="1" applyBorder="1"/>
    <xf numFmtId="44" fontId="0" fillId="8" borderId="6" xfId="2" applyFont="1" applyFill="1" applyBorder="1"/>
    <xf numFmtId="44" fontId="0" fillId="8" borderId="6" xfId="0" applyNumberFormat="1" applyFill="1" applyBorder="1"/>
    <xf numFmtId="165" fontId="0" fillId="8" borderId="6" xfId="4" applyNumberFormat="1" applyFont="1" applyFill="1" applyBorder="1"/>
    <xf numFmtId="0" fontId="0" fillId="8" borderId="6" xfId="0" applyFill="1" applyBorder="1"/>
    <xf numFmtId="0" fontId="8" fillId="0" borderId="0" xfId="0" applyFont="1" applyBorder="1" applyAlignment="1">
      <alignment horizontal="center"/>
    </xf>
    <xf numFmtId="0" fontId="10" fillId="0" borderId="0" xfId="0" applyFont="1" applyFill="1" applyBorder="1"/>
    <xf numFmtId="44" fontId="0" fillId="4" borderId="6" xfId="2" applyFont="1" applyFill="1" applyBorder="1"/>
    <xf numFmtId="0" fontId="15" fillId="0" borderId="0" xfId="0" applyFont="1" applyFill="1" applyBorder="1"/>
    <xf numFmtId="0" fontId="0" fillId="4" borderId="6" xfId="0" applyFill="1" applyBorder="1" applyAlignment="1">
      <alignment horizontal="right"/>
    </xf>
    <xf numFmtId="44" fontId="1" fillId="4" borderId="6" xfId="2" applyFill="1" applyBorder="1" applyAlignment="1" applyProtection="1">
      <alignment horizontal="left"/>
      <protection locked="0"/>
    </xf>
    <xf numFmtId="44" fontId="3" fillId="6" borderId="6" xfId="2" applyFont="1" applyFill="1" applyBorder="1" applyAlignment="1" applyProtection="1">
      <alignment horizontal="left"/>
    </xf>
    <xf numFmtId="44" fontId="0" fillId="0" borderId="0" xfId="2" applyFont="1" applyFill="1" applyBorder="1" applyAlignment="1" applyProtection="1">
      <alignment horizontal="right"/>
    </xf>
    <xf numFmtId="44" fontId="1" fillId="4" borderId="6" xfId="2" applyFont="1" applyFill="1" applyBorder="1" applyAlignment="1" applyProtection="1">
      <alignment horizontal="right"/>
      <protection locked="0"/>
    </xf>
    <xf numFmtId="14" fontId="1" fillId="4" borderId="6" xfId="2" applyNumberFormat="1" applyFont="1" applyFill="1" applyBorder="1" applyAlignment="1" applyProtection="1">
      <alignment horizontal="right"/>
      <protection locked="0"/>
    </xf>
    <xf numFmtId="44" fontId="1" fillId="3" borderId="15" xfId="2" applyFill="1" applyBorder="1" applyAlignment="1" applyProtection="1">
      <alignment horizontal="left"/>
      <protection locked="0"/>
    </xf>
    <xf numFmtId="44" fontId="1" fillId="6" borderId="6" xfId="2" applyFill="1" applyBorder="1" applyAlignment="1" applyProtection="1">
      <alignment horizontal="left"/>
    </xf>
    <xf numFmtId="44" fontId="1" fillId="2" borderId="6" xfId="2" applyFill="1" applyBorder="1" applyAlignment="1">
      <alignment horizontal="left"/>
    </xf>
    <xf numFmtId="44" fontId="1" fillId="0" borderId="0" xfId="2" applyFill="1" applyBorder="1" applyAlignment="1">
      <alignment horizontal="left"/>
    </xf>
    <xf numFmtId="166" fontId="1" fillId="3" borderId="6" xfId="2" applyNumberFormat="1" applyFill="1" applyBorder="1" applyAlignment="1" applyProtection="1">
      <alignment horizontal="left"/>
      <protection locked="0"/>
    </xf>
    <xf numFmtId="44" fontId="3" fillId="0" borderId="0" xfId="2" applyFont="1" applyFill="1" applyBorder="1" applyAlignment="1">
      <alignment horizontal="left"/>
    </xf>
    <xf numFmtId="44" fontId="1" fillId="2" borderId="15" xfId="2" applyFill="1" applyBorder="1" applyAlignment="1">
      <alignment horizontal="left"/>
    </xf>
    <xf numFmtId="44" fontId="1" fillId="5" borderId="9" xfId="2" applyFill="1" applyBorder="1" applyAlignment="1">
      <alignment horizontal="left"/>
    </xf>
    <xf numFmtId="44" fontId="1" fillId="2" borderId="13" xfId="2" applyFill="1" applyBorder="1" applyAlignment="1">
      <alignment horizontal="left"/>
    </xf>
    <xf numFmtId="44" fontId="0" fillId="0" borderId="0" xfId="2" applyFont="1" applyBorder="1" applyAlignment="1">
      <alignment horizontal="left"/>
    </xf>
    <xf numFmtId="0" fontId="0" fillId="0" borderId="16" xfId="0" applyBorder="1"/>
    <xf numFmtId="44" fontId="1" fillId="9" borderId="17" xfId="2" applyFill="1" applyBorder="1" applyAlignment="1">
      <alignment horizontal="left" vertical="center"/>
    </xf>
    <xf numFmtId="0" fontId="22" fillId="0" borderId="18" xfId="0" applyFont="1" applyBorder="1"/>
    <xf numFmtId="0" fontId="4" fillId="0" borderId="0" xfId="0" applyFont="1" applyFill="1" applyBorder="1" applyAlignment="1">
      <alignment horizontal="center"/>
    </xf>
    <xf numFmtId="10" fontId="0" fillId="8" borderId="6" xfId="4" applyNumberFormat="1" applyFont="1" applyFill="1" applyBorder="1"/>
    <xf numFmtId="44" fontId="0" fillId="4" borderId="11" xfId="2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quotePrefix="1" applyBorder="1"/>
    <xf numFmtId="0" fontId="0" fillId="0" borderId="12" xfId="0" applyFill="1" applyBorder="1"/>
    <xf numFmtId="44" fontId="0" fillId="8" borderId="11" xfId="2" applyFont="1" applyFill="1" applyBorder="1" applyAlignment="1">
      <alignment horizontal="right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0" xfId="3" applyBorder="1" applyAlignment="1" applyProtection="1">
      <alignment horizontal="left"/>
    </xf>
    <xf numFmtId="0" fontId="20" fillId="0" borderId="0" xfId="3" applyFont="1" applyBorder="1" applyAlignment="1" applyProtection="1">
      <alignment horizontal="left"/>
    </xf>
    <xf numFmtId="0" fontId="20" fillId="0" borderId="2" xfId="3" applyFont="1" applyBorder="1" applyAlignment="1" applyProtection="1">
      <alignment horizontal="left"/>
    </xf>
    <xf numFmtId="0" fontId="8" fillId="0" borderId="0" xfId="1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1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3" builtinId="8"/>
    <cellStyle name="Normal" xfId="0" builtinId="0"/>
    <cellStyle name="Normal 2" xfId="10" xr:uid="{00000000-0005-0000-0000-000008000000}"/>
    <cellStyle name="Normal 3" xfId="9" xr:uid="{00000000-0005-0000-0000-000009000000}"/>
    <cellStyle name="Percent" xfId="4" builtinId="5"/>
  </cellStyles>
  <dxfs count="2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  <color theme="5"/>
      </font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CCFFFF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  <pageSetUpPr autoPageBreaks="0"/>
  </sheetPr>
  <dimension ref="A1:Z46"/>
  <sheetViews>
    <sheetView showGridLines="0" tabSelected="1" view="pageLayout" topLeftCell="A4" zoomScale="90" zoomScaleNormal="100" zoomScalePageLayoutView="90" workbookViewId="0">
      <selection activeCell="E9" sqref="E9"/>
    </sheetView>
  </sheetViews>
  <sheetFormatPr defaultColWidth="4.7265625" defaultRowHeight="12.5"/>
  <cols>
    <col min="1" max="2" width="3.81640625" customWidth="1"/>
    <col min="3" max="3" width="7" customWidth="1"/>
    <col min="4" max="4" width="21.81640625" customWidth="1"/>
    <col min="5" max="5" width="17.36328125" customWidth="1"/>
    <col min="6" max="6" width="3.54296875" customWidth="1"/>
    <col min="7" max="7" width="15.26953125" customWidth="1"/>
    <col min="8" max="8" width="5.26953125" customWidth="1"/>
    <col min="9" max="9" width="7.1796875" customWidth="1"/>
    <col min="10" max="10" width="8.1796875" customWidth="1"/>
    <col min="11" max="11" width="9.453125" customWidth="1"/>
    <col min="12" max="12" width="12.08984375" customWidth="1"/>
    <col min="13" max="13" width="22.1796875" customWidth="1"/>
    <col min="14" max="14" width="5.08984375" customWidth="1"/>
    <col min="15" max="15" width="11.08984375" style="3" customWidth="1"/>
    <col min="16" max="16" width="9.1796875" customWidth="1"/>
    <col min="17" max="17" width="5.90625" bestFit="1" customWidth="1"/>
    <col min="18" max="18" width="9.1796875" bestFit="1" customWidth="1"/>
  </cols>
  <sheetData>
    <row r="1" spans="1:26" ht="12.75" customHeight="1">
      <c r="A1" s="139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.75" customHeight="1">
      <c r="A2" s="44"/>
      <c r="B2" s="23"/>
      <c r="C2" s="46"/>
      <c r="D2" s="46"/>
      <c r="E2" s="46"/>
      <c r="F2" s="23"/>
      <c r="G2" s="5"/>
      <c r="H2" s="85"/>
      <c r="I2" s="86"/>
      <c r="J2" s="86"/>
      <c r="K2" s="86"/>
      <c r="L2" s="86"/>
      <c r="M2" s="86"/>
      <c r="N2" s="86"/>
      <c r="O2" s="45"/>
      <c r="P2" s="3"/>
      <c r="Q2" s="3"/>
      <c r="R2" s="3"/>
    </row>
    <row r="3" spans="1:26" ht="17.25" customHeight="1">
      <c r="A3" s="142" t="s">
        <v>1</v>
      </c>
      <c r="B3" s="143"/>
      <c r="C3" s="143"/>
      <c r="D3" s="143"/>
      <c r="E3" s="143"/>
      <c r="F3" s="143"/>
      <c r="G3" s="144"/>
      <c r="H3" s="149" t="s">
        <v>110</v>
      </c>
      <c r="I3" s="150"/>
      <c r="J3" s="150"/>
      <c r="K3" s="150"/>
      <c r="L3" s="150"/>
      <c r="M3" s="150"/>
      <c r="N3" s="150"/>
      <c r="O3" s="151"/>
      <c r="P3" s="3"/>
      <c r="Q3" s="3"/>
      <c r="R3" s="3"/>
    </row>
    <row r="4" spans="1:26" ht="15.5">
      <c r="A4" s="44"/>
      <c r="B4" s="8"/>
      <c r="C4" s="1"/>
      <c r="D4" s="1"/>
      <c r="E4" s="18"/>
      <c r="F4" s="12"/>
      <c r="G4" s="9"/>
      <c r="H4" s="133"/>
      <c r="I4" s="127"/>
      <c r="J4" s="127"/>
      <c r="K4" s="127"/>
      <c r="L4" s="127"/>
      <c r="M4" s="127"/>
      <c r="N4" s="127"/>
      <c r="O4" s="134"/>
      <c r="P4" s="3"/>
      <c r="Q4" s="3"/>
      <c r="R4" s="3"/>
    </row>
    <row r="5" spans="1:26" ht="12.75" customHeight="1">
      <c r="A5" s="7"/>
      <c r="B5" s="22" t="s">
        <v>2</v>
      </c>
      <c r="C5" s="8"/>
      <c r="D5" s="1"/>
      <c r="E5" s="1"/>
      <c r="F5" s="12"/>
      <c r="G5" s="9"/>
      <c r="H5" s="7"/>
      <c r="I5" s="2" t="s">
        <v>95</v>
      </c>
      <c r="J5" s="1"/>
      <c r="K5" s="1"/>
      <c r="L5" s="1"/>
      <c r="M5" s="123"/>
      <c r="N5" s="1"/>
      <c r="O5" s="9"/>
      <c r="P5" s="3"/>
      <c r="Q5" s="3"/>
      <c r="R5" s="3"/>
    </row>
    <row r="6" spans="1:26" ht="13">
      <c r="A6" s="7"/>
      <c r="B6" s="16" t="s">
        <v>131</v>
      </c>
      <c r="C6" s="8"/>
      <c r="D6" s="1"/>
      <c r="E6" s="108" t="s">
        <v>132</v>
      </c>
      <c r="F6" s="12"/>
      <c r="G6" s="9"/>
      <c r="H6" s="7"/>
      <c r="I6" s="69" t="s">
        <v>96</v>
      </c>
      <c r="J6" s="69"/>
      <c r="K6" s="69"/>
      <c r="L6" s="69"/>
      <c r="M6" s="112" t="s">
        <v>130</v>
      </c>
      <c r="N6" s="1"/>
      <c r="O6" s="9"/>
      <c r="P6" s="3"/>
      <c r="Q6" s="3"/>
      <c r="R6" s="3"/>
    </row>
    <row r="7" spans="1:26" ht="13">
      <c r="A7" s="7"/>
      <c r="B7" s="16" t="s">
        <v>24</v>
      </c>
      <c r="C7" s="1"/>
      <c r="D7" s="1"/>
      <c r="E7" s="40" t="s">
        <v>133</v>
      </c>
      <c r="F7" s="12"/>
      <c r="G7" s="41"/>
      <c r="H7" s="7"/>
      <c r="I7" s="69" t="str">
        <f>IF($F$9="YTD","Enter Date of YTD","")</f>
        <v/>
      </c>
      <c r="J7" s="69"/>
      <c r="K7" s="69"/>
      <c r="L7" s="69"/>
      <c r="M7" s="113">
        <v>42776</v>
      </c>
      <c r="N7" s="1"/>
      <c r="O7" s="9"/>
      <c r="P7" s="3"/>
      <c r="Q7" s="3"/>
      <c r="R7" s="3"/>
    </row>
    <row r="8" spans="1:26" ht="13">
      <c r="A8" s="7"/>
      <c r="B8" s="16" t="str">
        <f>IF(OR(E7="ARM",E6="Mortgage Statement"),"Current Monthly P&amp;I Payment","")</f>
        <v>Current Monthly P&amp;I Payment</v>
      </c>
      <c r="C8" s="1"/>
      <c r="D8" s="1"/>
      <c r="E8" s="42">
        <f>579.08+803.77</f>
        <v>1382.85</v>
      </c>
      <c r="F8" s="12"/>
      <c r="G8" s="41"/>
      <c r="H8" s="7"/>
      <c r="I8" s="69" t="s">
        <v>97</v>
      </c>
      <c r="J8" s="69"/>
      <c r="K8" s="69"/>
      <c r="L8" s="69"/>
      <c r="M8" s="114">
        <v>4500</v>
      </c>
      <c r="N8" s="1"/>
      <c r="O8" s="9"/>
      <c r="P8" s="3"/>
      <c r="Q8" s="3"/>
      <c r="R8" s="3"/>
    </row>
    <row r="9" spans="1:26" ht="13">
      <c r="A9" s="7"/>
      <c r="B9" s="16" t="s">
        <v>31</v>
      </c>
      <c r="C9" s="1"/>
      <c r="D9" s="1"/>
      <c r="E9" s="26">
        <v>4.2500000000000003E-2</v>
      </c>
      <c r="F9" s="12"/>
      <c r="G9" s="9"/>
      <c r="H9" s="7"/>
      <c r="I9" s="69" t="s">
        <v>98</v>
      </c>
      <c r="J9" s="69"/>
      <c r="K9" s="69"/>
      <c r="L9" s="69"/>
      <c r="M9" s="115">
        <f>IF(M6="weekly",M8*52/12,IF(M6="biweekly",M8*26/12,IF(M6="bimonthly",M8*2,IF(M6="annual",M8/12,IF(M6="ytd",M8/DAYS360(DATE(YEAR(M7),1,1),M7)*30,IF(M6="monthly",M8,0))))))</f>
        <v>4500</v>
      </c>
      <c r="N9" s="1"/>
      <c r="O9" s="9"/>
      <c r="P9" s="3"/>
      <c r="Q9" s="3"/>
      <c r="R9" s="3"/>
    </row>
    <row r="10" spans="1:26" ht="13">
      <c r="A10" s="7"/>
      <c r="B10" s="16" t="s">
        <v>3</v>
      </c>
      <c r="C10" s="1"/>
      <c r="D10" s="1"/>
      <c r="E10" s="19">
        <v>294074</v>
      </c>
      <c r="F10" s="12"/>
      <c r="G10" s="9"/>
      <c r="H10" s="7"/>
      <c r="I10" s="16" t="s">
        <v>99</v>
      </c>
      <c r="J10" s="1"/>
      <c r="K10" s="1"/>
      <c r="L10" s="1"/>
      <c r="M10" s="21">
        <v>0</v>
      </c>
      <c r="N10" s="1"/>
      <c r="O10" s="9"/>
      <c r="P10" s="3"/>
      <c r="Q10" s="3"/>
      <c r="R10" s="3"/>
    </row>
    <row r="11" spans="1:26" ht="13">
      <c r="A11" s="7"/>
      <c r="B11" s="16" t="s">
        <v>26</v>
      </c>
      <c r="C11" s="1"/>
      <c r="D11" s="1"/>
      <c r="E11" s="20">
        <v>360</v>
      </c>
      <c r="F11" s="12"/>
      <c r="G11" s="9"/>
      <c r="H11" s="7"/>
      <c r="I11" s="16" t="s">
        <v>100</v>
      </c>
      <c r="J11" s="2"/>
      <c r="K11" s="2"/>
      <c r="L11" s="2"/>
      <c r="M11" s="21"/>
      <c r="N11" s="1"/>
      <c r="O11" s="9"/>
      <c r="P11" s="3"/>
      <c r="Q11" s="3"/>
      <c r="R11" s="3"/>
    </row>
    <row r="12" spans="1:26">
      <c r="A12" s="7"/>
      <c r="B12" s="16" t="s">
        <v>5</v>
      </c>
      <c r="C12" s="1"/>
      <c r="D12" s="1"/>
      <c r="E12" s="62">
        <v>41821</v>
      </c>
      <c r="F12" s="1"/>
      <c r="G12" s="9"/>
      <c r="H12" s="7"/>
      <c r="I12" s="16" t="s">
        <v>101</v>
      </c>
      <c r="J12" s="1"/>
      <c r="K12" s="1"/>
      <c r="L12" s="1"/>
      <c r="M12" s="21"/>
      <c r="N12" s="1"/>
      <c r="O12" s="9"/>
      <c r="P12" s="3"/>
      <c r="Q12" s="3"/>
      <c r="R12" s="3"/>
    </row>
    <row r="13" spans="1:26">
      <c r="A13" s="7"/>
      <c r="B13" s="16" t="s">
        <v>33</v>
      </c>
      <c r="C13" s="1"/>
      <c r="D13" s="1"/>
      <c r="E13" s="21">
        <v>802.47</v>
      </c>
      <c r="F13" s="4"/>
      <c r="G13" s="9"/>
      <c r="H13" s="7"/>
      <c r="I13" s="1"/>
      <c r="J13" s="1"/>
      <c r="K13" s="1"/>
      <c r="L13" s="1"/>
      <c r="M13" s="116">
        <f>M12*1.25</f>
        <v>0</v>
      </c>
      <c r="N13" s="16" t="s">
        <v>102</v>
      </c>
      <c r="O13" s="9"/>
      <c r="P13" s="3"/>
      <c r="Q13" s="3"/>
      <c r="R13" s="3"/>
    </row>
    <row r="14" spans="1:26">
      <c r="A14" s="7"/>
      <c r="B14" s="16" t="s">
        <v>34</v>
      </c>
      <c r="C14" s="1"/>
      <c r="D14" s="1"/>
      <c r="E14" s="21">
        <v>0</v>
      </c>
      <c r="F14" s="4"/>
      <c r="G14" s="9"/>
      <c r="H14" s="7"/>
      <c r="I14" s="1" t="s">
        <v>103</v>
      </c>
      <c r="J14" s="1"/>
      <c r="K14" s="1"/>
      <c r="L14" s="1"/>
      <c r="M14" s="117"/>
      <c r="N14" s="1"/>
      <c r="O14" s="9"/>
      <c r="P14" s="3"/>
      <c r="Q14" s="3"/>
      <c r="R14" s="3"/>
    </row>
    <row r="15" spans="1:26">
      <c r="A15" s="7"/>
      <c r="B15" s="16" t="s">
        <v>35</v>
      </c>
      <c r="C15" s="1"/>
      <c r="D15" s="1"/>
      <c r="E15" s="21">
        <v>0</v>
      </c>
      <c r="F15" s="4"/>
      <c r="G15" s="9"/>
      <c r="H15" s="7"/>
      <c r="I15" s="1"/>
      <c r="J15" s="16" t="s">
        <v>104</v>
      </c>
      <c r="K15" s="16"/>
      <c r="L15" s="1"/>
      <c r="M15" s="118"/>
      <c r="N15" s="1"/>
      <c r="O15" s="9"/>
      <c r="P15" s="3"/>
      <c r="Q15" s="3"/>
      <c r="R15" s="3"/>
    </row>
    <row r="16" spans="1:26">
      <c r="A16" s="7"/>
      <c r="B16" s="16" t="s">
        <v>90</v>
      </c>
      <c r="C16" s="1"/>
      <c r="D16" s="1"/>
      <c r="E16" s="109">
        <v>0</v>
      </c>
      <c r="F16" s="4"/>
      <c r="G16" s="9"/>
      <c r="H16" s="7"/>
      <c r="I16" s="1"/>
      <c r="J16" s="1"/>
      <c r="K16" s="1"/>
      <c r="L16" s="1"/>
      <c r="M16" s="116">
        <f>M15*0.75</f>
        <v>0</v>
      </c>
      <c r="N16" s="16" t="s">
        <v>105</v>
      </c>
      <c r="O16" s="9"/>
      <c r="P16" s="3"/>
      <c r="Q16" s="3"/>
      <c r="R16" s="3"/>
    </row>
    <row r="17" spans="1:18" ht="13">
      <c r="A17" s="7"/>
      <c r="B17" s="16" t="s">
        <v>11</v>
      </c>
      <c r="C17" s="1"/>
      <c r="D17" s="1"/>
      <c r="E17" s="110">
        <f>IF(OR(E6="Mortgage Statement",E7="ARM"),E8,-PMT(rate/12,E11,E10))</f>
        <v>1382.85</v>
      </c>
      <c r="F17" s="4"/>
      <c r="G17" s="9"/>
      <c r="H17" s="7"/>
      <c r="I17" s="1"/>
      <c r="J17" s="16" t="s">
        <v>106</v>
      </c>
      <c r="K17" s="16"/>
      <c r="L17" s="1"/>
      <c r="M17" s="21">
        <v>0</v>
      </c>
      <c r="N17" s="1"/>
      <c r="O17" s="9"/>
      <c r="P17" s="3"/>
      <c r="Q17" s="3"/>
      <c r="R17" s="3"/>
    </row>
    <row r="18" spans="1:18" ht="13">
      <c r="A18" s="7"/>
      <c r="B18" s="16" t="s">
        <v>0</v>
      </c>
      <c r="C18" s="1"/>
      <c r="D18" s="1"/>
      <c r="E18" s="110">
        <f>SUM(E13:E17)</f>
        <v>2185.3199999999997</v>
      </c>
      <c r="F18" s="12"/>
      <c r="G18" s="9"/>
      <c r="H18" s="7"/>
      <c r="I18" s="1"/>
      <c r="J18" s="1"/>
      <c r="K18" s="1"/>
      <c r="L18" s="1"/>
      <c r="M18" s="116">
        <f>M17*0.75</f>
        <v>0</v>
      </c>
      <c r="N18" s="16" t="s">
        <v>105</v>
      </c>
      <c r="O18" s="9"/>
      <c r="P18" s="3"/>
      <c r="Q18" s="3"/>
      <c r="R18" s="3"/>
    </row>
    <row r="19" spans="1:18">
      <c r="A19" s="7"/>
      <c r="B19" s="1"/>
      <c r="C19" s="1"/>
      <c r="D19" s="1"/>
      <c r="E19" s="25"/>
      <c r="F19" s="4"/>
      <c r="G19" s="9"/>
      <c r="H19" s="7"/>
      <c r="I19" s="1"/>
      <c r="J19" s="1"/>
      <c r="K19" s="1"/>
      <c r="L19" s="135" t="str">
        <f>IF(M17&gt;0,"PITIA on Rental","")</f>
        <v/>
      </c>
      <c r="M19" s="21">
        <v>0</v>
      </c>
      <c r="N19" s="1"/>
      <c r="O19" s="9"/>
      <c r="P19" s="3"/>
      <c r="Q19" s="3"/>
      <c r="R19" s="3"/>
    </row>
    <row r="20" spans="1:18" ht="13">
      <c r="A20" s="7"/>
      <c r="B20" s="148" t="s">
        <v>38</v>
      </c>
      <c r="C20" s="148"/>
      <c r="D20" s="148"/>
      <c r="E20" s="148"/>
      <c r="F20" s="4"/>
      <c r="G20" s="9"/>
      <c r="H20" s="7"/>
      <c r="I20" s="1"/>
      <c r="J20" s="1"/>
      <c r="K20" s="1"/>
      <c r="L20" s="1"/>
      <c r="M20" s="116">
        <f>M18-M19</f>
        <v>0</v>
      </c>
      <c r="N20" s="16" t="str">
        <f>IF(M19&gt;0,"Reduced by PITIA","")</f>
        <v/>
      </c>
      <c r="O20" s="9"/>
      <c r="P20" s="3"/>
      <c r="Q20" s="3"/>
      <c r="R20" s="3"/>
    </row>
    <row r="21" spans="1:18">
      <c r="A21" s="7"/>
      <c r="B21" s="82" t="s">
        <v>36</v>
      </c>
      <c r="C21" s="69"/>
      <c r="D21" s="69"/>
      <c r="E21" s="67" t="s">
        <v>71</v>
      </c>
      <c r="F21" s="4"/>
      <c r="G21" s="9"/>
      <c r="H21" s="7"/>
      <c r="I21" s="1"/>
      <c r="J21" s="1"/>
      <c r="K21" s="1"/>
      <c r="L21" s="1"/>
      <c r="M21" s="117"/>
      <c r="N21" s="1"/>
      <c r="O21" s="9"/>
      <c r="P21" s="3"/>
      <c r="Q21" s="3"/>
      <c r="R21" s="3"/>
    </row>
    <row r="22" spans="1:18">
      <c r="A22" s="7"/>
      <c r="B22" s="83" t="str">
        <f>IF(infotype=1,"Estimate Arrears and UPB at Default:","Enter UPB at Default:")</f>
        <v>Enter UPB at Default:</v>
      </c>
      <c r="C22" s="69"/>
      <c r="D22" s="69"/>
      <c r="E22" s="70">
        <v>550727.14</v>
      </c>
      <c r="F22" s="24">
        <f>E18-E17</f>
        <v>802.4699999999998</v>
      </c>
      <c r="G22" s="9"/>
      <c r="H22" s="7"/>
      <c r="I22" s="1" t="s">
        <v>107</v>
      </c>
      <c r="J22" s="1"/>
      <c r="K22" s="1"/>
      <c r="L22" s="1"/>
      <c r="M22" s="116">
        <f>M16+M11+M9+M10+M13</f>
        <v>4500</v>
      </c>
      <c r="N22" s="1"/>
      <c r="O22" s="9"/>
      <c r="P22" s="3"/>
      <c r="Q22" s="3"/>
      <c r="R22" s="3"/>
    </row>
    <row r="23" spans="1:18" ht="13">
      <c r="A23" s="7"/>
      <c r="B23" s="83" t="str">
        <f>IF(infotype=2,"Estimate Arrears:",IF(infotype=3,"Enter Amount of Arrears:",""))</f>
        <v>Enter Amount of Arrears:</v>
      </c>
      <c r="C23" s="69"/>
      <c r="D23" s="69"/>
      <c r="E23" s="70">
        <f>647464.02-550727.14</f>
        <v>96736.88</v>
      </c>
      <c r="F23" s="10"/>
      <c r="G23" s="9"/>
      <c r="H23" s="7"/>
      <c r="I23" s="1"/>
      <c r="J23" s="1"/>
      <c r="K23" s="1"/>
      <c r="L23" s="1"/>
      <c r="M23" s="123"/>
      <c r="N23" s="1"/>
      <c r="O23" s="9"/>
      <c r="P23" s="3"/>
      <c r="Q23" s="3"/>
      <c r="R23" s="3"/>
    </row>
    <row r="24" spans="1:18" ht="13">
      <c r="A24" s="7"/>
      <c r="B24" s="82" t="s">
        <v>70</v>
      </c>
      <c r="C24" s="69"/>
      <c r="D24" s="69"/>
      <c r="E24" s="62">
        <v>43922</v>
      </c>
      <c r="F24" s="10"/>
      <c r="G24" s="9"/>
      <c r="H24" s="7"/>
      <c r="I24" s="2" t="s">
        <v>108</v>
      </c>
      <c r="J24" s="2"/>
      <c r="K24" s="2"/>
      <c r="L24" s="2"/>
      <c r="M24" s="119"/>
      <c r="N24" s="136"/>
      <c r="O24" s="9"/>
      <c r="P24" s="3"/>
      <c r="Q24" s="3"/>
      <c r="R24" s="3"/>
    </row>
    <row r="25" spans="1:18" ht="13">
      <c r="A25" s="57"/>
      <c r="B25" s="82" t="str">
        <f>IF(infotype=3,"","Today's Date")</f>
        <v/>
      </c>
      <c r="C25" s="69"/>
      <c r="D25" s="69"/>
      <c r="E25" s="68">
        <f ca="1">TODAY()</f>
        <v>44571</v>
      </c>
      <c r="F25" s="58"/>
      <c r="G25" s="59"/>
      <c r="H25" s="7"/>
      <c r="I25" s="69" t="s">
        <v>96</v>
      </c>
      <c r="J25" s="69"/>
      <c r="K25" s="69"/>
      <c r="L25" s="69"/>
      <c r="M25" s="112"/>
      <c r="N25" s="1"/>
      <c r="O25" s="9"/>
      <c r="P25" s="3"/>
      <c r="Q25" s="3"/>
      <c r="R25" s="3"/>
    </row>
    <row r="26" spans="1:18" ht="13">
      <c r="A26" s="57"/>
      <c r="B26" s="65" t="str">
        <f>IF(infotype=3,"","Total Months in Default")</f>
        <v/>
      </c>
      <c r="C26" s="60"/>
      <c r="D26" s="60"/>
      <c r="E26" s="63">
        <f ca="1">ROUNDUP((DAYS360(E24,E25))/30,0)</f>
        <v>22</v>
      </c>
      <c r="F26" s="58"/>
      <c r="G26" s="59"/>
      <c r="H26" s="7"/>
      <c r="I26" s="69" t="str">
        <f>IF($F$30="YTD","Enter Date of YTD","")</f>
        <v/>
      </c>
      <c r="J26" s="69"/>
      <c r="K26" s="69"/>
      <c r="L26" s="69"/>
      <c r="M26" s="113">
        <v>41197</v>
      </c>
      <c r="N26" s="1"/>
      <c r="O26" s="9"/>
    </row>
    <row r="27" spans="1:18" ht="13">
      <c r="A27" s="57"/>
      <c r="B27" s="65" t="str">
        <f>IF(infotype=3,"",IF(infotype=2,"UPB at Default",IF(infotype=1,"Est UPB at Default",0)))</f>
        <v/>
      </c>
      <c r="C27" s="60"/>
      <c r="D27" s="60"/>
      <c r="E27" s="66">
        <f>IF(infotype=1,-PV(rate/12,LOANTERM-ROUNDUP(DAYS360(FPAY,DDate)/30,0),E17),E22)</f>
        <v>550727.14</v>
      </c>
      <c r="F27" s="58"/>
      <c r="G27" s="59"/>
      <c r="H27" s="7"/>
      <c r="I27" s="69" t="s">
        <v>97</v>
      </c>
      <c r="J27" s="69"/>
      <c r="K27" s="69"/>
      <c r="L27" s="69"/>
      <c r="M27" s="114">
        <v>0</v>
      </c>
      <c r="N27" s="1"/>
      <c r="O27" s="9"/>
    </row>
    <row r="28" spans="1:18" ht="13">
      <c r="A28" s="57"/>
      <c r="B28" s="65" t="str">
        <f>IF(infotype=3,"","Taxes in Arrears")</f>
        <v/>
      </c>
      <c r="C28" s="69"/>
      <c r="D28" s="69"/>
      <c r="E28" s="66">
        <f ca="1">E13*E26</f>
        <v>17654.34</v>
      </c>
      <c r="F28" s="58"/>
      <c r="G28" s="59"/>
      <c r="H28" s="7"/>
      <c r="I28" s="69" t="s">
        <v>98</v>
      </c>
      <c r="J28" s="69"/>
      <c r="K28" s="69"/>
      <c r="L28" s="69"/>
      <c r="M28" s="115">
        <f>IF(M25="weekly",M27*52/12,IF(M25="biweekly",M27*26/12,IF(M25="bimonthly",M27*2,IF(M25="annual",M27/12,IF(M25="ytd",M27/DAYS360(DATE(YEAR(M26),1,1),M26)*30,IF(M25="monthly",M27,0))))))</f>
        <v>0</v>
      </c>
      <c r="N28" s="1"/>
      <c r="O28" s="9"/>
    </row>
    <row r="29" spans="1:18" ht="13">
      <c r="A29" s="57"/>
      <c r="B29" s="65" t="str">
        <f>IF(infotype=3,"","Insurance Arrears")</f>
        <v/>
      </c>
      <c r="C29" s="69"/>
      <c r="D29" s="69"/>
      <c r="E29" s="66">
        <f ca="1">E14*E26</f>
        <v>0</v>
      </c>
      <c r="F29" s="56"/>
      <c r="G29" s="59"/>
      <c r="H29" s="7"/>
      <c r="I29" s="16" t="s">
        <v>100</v>
      </c>
      <c r="J29" s="2"/>
      <c r="K29" s="2"/>
      <c r="L29" s="2"/>
      <c r="M29" s="21">
        <v>0</v>
      </c>
      <c r="N29" s="1"/>
      <c r="O29" s="9"/>
    </row>
    <row r="30" spans="1:18">
      <c r="A30" s="57"/>
      <c r="B30" s="82" t="str">
        <f>IF(infotype=3,"","Association Fee Arrears")</f>
        <v/>
      </c>
      <c r="C30" s="69"/>
      <c r="D30" s="69"/>
      <c r="E30" s="66">
        <f ca="1">E15*E26</f>
        <v>0</v>
      </c>
      <c r="F30" s="56"/>
      <c r="G30" s="59"/>
      <c r="H30" s="7"/>
      <c r="I30" s="16" t="s">
        <v>101</v>
      </c>
      <c r="J30" s="1"/>
      <c r="K30" s="1"/>
      <c r="L30" s="1"/>
      <c r="M30" s="21">
        <v>0</v>
      </c>
      <c r="N30" s="1"/>
      <c r="O30" s="9"/>
    </row>
    <row r="31" spans="1:18">
      <c r="A31" s="57"/>
      <c r="B31" s="65" t="str">
        <f>IF(infotype=3,"","Interest Arrears")</f>
        <v/>
      </c>
      <c r="C31" s="69"/>
      <c r="D31" s="84"/>
      <c r="E31" s="66">
        <f ca="1">E26*ROUND(rate/12*E27,2)+(DAY(E25)-DAY(E24))*ROUND(rate/365*E27,4)</f>
        <v>43487.912199999999</v>
      </c>
      <c r="F31" s="56"/>
      <c r="G31" s="59">
        <v>0</v>
      </c>
      <c r="H31" s="7"/>
      <c r="I31" s="1"/>
      <c r="J31" s="1"/>
      <c r="K31" s="1"/>
      <c r="L31" s="1"/>
      <c r="M31" s="120">
        <f>M30*1.25</f>
        <v>0</v>
      </c>
      <c r="N31" s="16" t="s">
        <v>102</v>
      </c>
      <c r="O31" s="9"/>
    </row>
    <row r="32" spans="1:18">
      <c r="A32" s="57"/>
      <c r="B32" s="65" t="str">
        <f>IF(infotype=3,"","MIP Arrears")</f>
        <v/>
      </c>
      <c r="C32" s="69"/>
      <c r="D32" s="84"/>
      <c r="E32" s="66">
        <f ca="1">E16*E26</f>
        <v>0</v>
      </c>
      <c r="F32" s="56"/>
      <c r="G32" s="59"/>
      <c r="H32" s="7"/>
      <c r="I32" s="1"/>
      <c r="J32" s="1"/>
      <c r="K32" s="1"/>
      <c r="L32" s="1"/>
      <c r="M32" s="121"/>
      <c r="N32" s="16"/>
      <c r="O32" s="9"/>
    </row>
    <row r="33" spans="1:15" ht="13" thickBot="1">
      <c r="A33" s="57"/>
      <c r="B33" s="60" t="str">
        <f>IF(infotype=3,"","Allowable Fees &amp; Costs")</f>
        <v/>
      </c>
      <c r="C33" s="60"/>
      <c r="D33" s="60"/>
      <c r="E33" s="64">
        <v>83.7</v>
      </c>
      <c r="F33" s="56"/>
      <c r="G33" s="59"/>
      <c r="H33" s="7"/>
      <c r="I33" s="1" t="s">
        <v>107</v>
      </c>
      <c r="J33" s="1"/>
      <c r="K33" s="1"/>
      <c r="L33" s="1"/>
      <c r="M33" s="122">
        <f>SUM(M28,M29,M31)</f>
        <v>0</v>
      </c>
      <c r="N33" s="1"/>
      <c r="O33" s="9"/>
    </row>
    <row r="34" spans="1:15" ht="13.5" thickBot="1">
      <c r="A34" s="57"/>
      <c r="B34" s="61" t="str">
        <f>IF(infotype=3,"","Total Eligible Arrears")</f>
        <v/>
      </c>
      <c r="C34" s="60"/>
      <c r="D34" s="60"/>
      <c r="E34" s="71">
        <f>IF(infotype=3,E23,SUM(E28:E33))</f>
        <v>96736.88</v>
      </c>
      <c r="F34" s="56"/>
      <c r="G34" s="59"/>
      <c r="H34" s="7"/>
      <c r="I34" s="1"/>
      <c r="J34" s="1"/>
      <c r="K34" s="1"/>
      <c r="L34" s="1"/>
      <c r="M34" s="123"/>
      <c r="N34" s="1"/>
      <c r="O34" s="9"/>
    </row>
    <row r="35" spans="1:15" ht="14" thickTop="1" thickBot="1">
      <c r="A35" s="57"/>
      <c r="B35" s="61"/>
      <c r="C35" s="60"/>
      <c r="D35" s="60"/>
      <c r="E35" s="111"/>
      <c r="F35" s="56"/>
      <c r="G35" s="59"/>
      <c r="H35" s="91"/>
      <c r="I35" s="2" t="s">
        <v>109</v>
      </c>
      <c r="J35" s="1"/>
      <c r="K35" s="1"/>
      <c r="L35" s="124"/>
      <c r="M35" s="125">
        <f>M22+M33</f>
        <v>4500</v>
      </c>
      <c r="N35" s="126"/>
      <c r="O35" s="6"/>
    </row>
    <row r="36" spans="1:15" ht="14" thickTop="1" thickBot="1">
      <c r="A36" s="57"/>
      <c r="B36" s="61" t="s">
        <v>71</v>
      </c>
      <c r="C36" s="60"/>
      <c r="D36" s="60"/>
      <c r="E36" s="71">
        <f>DUPB+E34</f>
        <v>647464.02</v>
      </c>
      <c r="F36" s="56"/>
      <c r="G36" s="59"/>
      <c r="H36" s="91"/>
      <c r="I36" s="4"/>
      <c r="J36" s="4"/>
      <c r="K36" s="4"/>
      <c r="L36" s="1"/>
      <c r="M36" s="1"/>
      <c r="N36" s="1"/>
      <c r="O36" s="6"/>
    </row>
    <row r="37" spans="1:15" ht="13">
      <c r="A37" s="57"/>
      <c r="B37" s="10"/>
      <c r="C37" s="8"/>
      <c r="D37" s="4"/>
      <c r="E37" s="4"/>
      <c r="F37" s="56"/>
      <c r="G37" s="59"/>
      <c r="H37" s="7"/>
      <c r="I37" s="1"/>
      <c r="J37" s="1"/>
      <c r="K37" s="1"/>
      <c r="L37" s="1"/>
      <c r="M37" s="1"/>
      <c r="N37" s="1"/>
      <c r="O37" s="6"/>
    </row>
    <row r="38" spans="1:15" ht="13">
      <c r="A38" s="57"/>
      <c r="B38" s="22" t="s">
        <v>4</v>
      </c>
      <c r="C38" s="1"/>
      <c r="D38" s="1"/>
      <c r="E38" s="1"/>
      <c r="F38" s="56"/>
      <c r="G38" s="59"/>
      <c r="H38" s="91"/>
      <c r="I38" s="4"/>
      <c r="J38" s="1"/>
      <c r="K38" s="1"/>
      <c r="L38" s="1"/>
      <c r="M38" s="1"/>
      <c r="N38" s="1"/>
      <c r="O38" s="9"/>
    </row>
    <row r="39" spans="1:15" ht="13.5">
      <c r="A39" s="57"/>
      <c r="B39" s="145" t="str">
        <f>HYPERLINK("http://www.freddiemac.com/pmms/","Freddie Mac PMMS 30yr Fixed")</f>
        <v>Freddie Mac PMMS 30yr Fixed</v>
      </c>
      <c r="C39" s="146"/>
      <c r="D39" s="147"/>
      <c r="E39" s="48">
        <v>3.2199999999999999E-2</v>
      </c>
      <c r="F39" s="56"/>
      <c r="G39" s="59"/>
      <c r="H39" s="91"/>
      <c r="I39" s="1"/>
      <c r="J39" s="1"/>
      <c r="K39" s="1"/>
      <c r="L39" s="1"/>
      <c r="M39" s="1"/>
      <c r="N39" s="1"/>
      <c r="O39" s="9"/>
    </row>
    <row r="40" spans="1:15" ht="13">
      <c r="A40" s="57"/>
      <c r="B40" s="2" t="s">
        <v>25</v>
      </c>
      <c r="C40" s="1"/>
      <c r="D40" s="1"/>
      <c r="E40" s="49">
        <f>ROUND((E39)*800,0)/800</f>
        <v>3.2500000000000001E-2</v>
      </c>
      <c r="F40" s="56"/>
      <c r="G40" s="59"/>
      <c r="H40" s="91"/>
      <c r="I40" s="1"/>
      <c r="J40" s="1"/>
      <c r="K40" s="1"/>
      <c r="L40" s="1"/>
      <c r="M40" s="1"/>
      <c r="N40" s="1"/>
      <c r="O40" s="9"/>
    </row>
    <row r="41" spans="1:15" ht="12.75" customHeight="1">
      <c r="A41" s="57"/>
      <c r="B41" s="32"/>
      <c r="C41" s="13"/>
      <c r="D41" s="4"/>
      <c r="E41" s="15"/>
      <c r="F41" s="56"/>
      <c r="G41" s="59"/>
      <c r="H41" s="91"/>
      <c r="I41" s="1"/>
      <c r="J41" s="1"/>
      <c r="K41" s="1"/>
      <c r="L41" s="1"/>
      <c r="M41" s="1"/>
      <c r="N41" s="1"/>
      <c r="O41" s="9"/>
    </row>
    <row r="42" spans="1:15" ht="13">
      <c r="A42" s="7"/>
      <c r="B42" s="22" t="s">
        <v>13</v>
      </c>
      <c r="C42" s="1"/>
      <c r="D42" s="1"/>
      <c r="E42" s="1"/>
      <c r="F42" s="4"/>
      <c r="G42" s="9"/>
      <c r="H42" s="91"/>
      <c r="I42" s="1"/>
      <c r="J42" s="1"/>
      <c r="K42" s="1"/>
      <c r="L42" s="1"/>
      <c r="M42" s="1"/>
      <c r="N42" s="1"/>
      <c r="O42" s="9"/>
    </row>
    <row r="43" spans="1:15" ht="12" customHeight="1">
      <c r="A43" s="7"/>
      <c r="B43" s="16" t="s">
        <v>27</v>
      </c>
      <c r="C43" s="1"/>
      <c r="D43" s="1"/>
      <c r="E43" s="43"/>
      <c r="F43" s="4"/>
      <c r="G43" s="9"/>
      <c r="H43" s="91"/>
      <c r="I43" s="1"/>
      <c r="J43" s="1"/>
      <c r="K43" s="1"/>
      <c r="L43" s="1"/>
      <c r="M43" s="1"/>
      <c r="N43" s="1"/>
      <c r="O43" s="9"/>
    </row>
    <row r="44" spans="1:15" ht="12.75" customHeight="1">
      <c r="A44" s="7"/>
      <c r="B44" s="16" t="str">
        <f>IF(E43&gt;0,"UPB at Time of Previous Partial Claim","")</f>
        <v/>
      </c>
      <c r="C44" s="1"/>
      <c r="D44" s="1"/>
      <c r="E44" s="80">
        <v>0</v>
      </c>
      <c r="F44" s="4"/>
      <c r="G44" s="9"/>
      <c r="H44" s="91"/>
      <c r="I44" s="1"/>
      <c r="J44" s="1"/>
      <c r="K44" s="1"/>
      <c r="L44" s="1"/>
      <c r="M44" s="1"/>
      <c r="N44" s="1"/>
      <c r="O44" s="9"/>
    </row>
    <row r="45" spans="1:15">
      <c r="A45" s="7"/>
      <c r="B45" s="16" t="s">
        <v>74</v>
      </c>
      <c r="C45" s="1"/>
      <c r="D45" s="1"/>
      <c r="E45" s="97">
        <f>IF(IF(E43&gt;0,0.25*E44-E43,0.25*DUPB)&gt;0,IF(E43&gt;0,0.25*E44-E43,0.25*DUPB),0)</f>
        <v>137681.785</v>
      </c>
      <c r="F45" s="4"/>
      <c r="G45" s="9"/>
      <c r="H45" s="91"/>
      <c r="I45" s="1"/>
      <c r="J45" s="1"/>
      <c r="K45" s="1"/>
      <c r="L45" s="1"/>
      <c r="M45" s="1"/>
      <c r="N45" s="1"/>
      <c r="O45" s="9"/>
    </row>
    <row r="46" spans="1:15">
      <c r="A46" s="95"/>
      <c r="B46" s="11"/>
      <c r="C46" s="11"/>
      <c r="D46" s="11"/>
      <c r="E46" s="11"/>
      <c r="F46" s="52"/>
      <c r="G46" s="53"/>
      <c r="H46" s="95"/>
      <c r="I46" s="11"/>
      <c r="J46" s="11"/>
      <c r="K46" s="11"/>
      <c r="L46" s="11"/>
      <c r="M46" s="11"/>
      <c r="N46" s="11"/>
      <c r="O46" s="137"/>
    </row>
  </sheetData>
  <mergeCells count="5">
    <mergeCell ref="A1:O1"/>
    <mergeCell ref="A3:G3"/>
    <mergeCell ref="B39:D39"/>
    <mergeCell ref="B20:E20"/>
    <mergeCell ref="H3:O3"/>
  </mergeCells>
  <phoneticPr fontId="2" type="noConversion"/>
  <conditionalFormatting sqref="E16">
    <cfRule type="expression" dxfId="28" priority="43">
      <formula>IF(#REF!="No",1,0)</formula>
    </cfRule>
  </conditionalFormatting>
  <conditionalFormatting sqref="E22">
    <cfRule type="expression" dxfId="27" priority="39">
      <formula>IF(AND(infotype=3,NOT(JulyRules)),1,0)</formula>
    </cfRule>
  </conditionalFormatting>
  <conditionalFormatting sqref="E22">
    <cfRule type="expression" dxfId="26" priority="34">
      <formula>IF(infotype=1,1,0)</formula>
    </cfRule>
  </conditionalFormatting>
  <conditionalFormatting sqref="E26:E34">
    <cfRule type="expression" dxfId="25" priority="33">
      <formula>IF(infotype=3,1,0)</formula>
    </cfRule>
  </conditionalFormatting>
  <conditionalFormatting sqref="E25">
    <cfRule type="expression" dxfId="24" priority="32">
      <formula>IF(infotype=3,1,0)</formula>
    </cfRule>
  </conditionalFormatting>
  <conditionalFormatting sqref="B23">
    <cfRule type="expression" dxfId="23" priority="30">
      <formula>IF(infotype=2,1,0)</formula>
    </cfRule>
  </conditionalFormatting>
  <conditionalFormatting sqref="B22">
    <cfRule type="expression" dxfId="22" priority="25">
      <formula>IF(AND(infotype=1,#REF!="Other"),1,0)</formula>
    </cfRule>
    <cfRule type="expression" dxfId="21" priority="26">
      <formula>IF(infotype=1,1,0)</formula>
    </cfRule>
  </conditionalFormatting>
  <conditionalFormatting sqref="E23">
    <cfRule type="expression" dxfId="20" priority="23">
      <formula>IF(infotype=2,1,0)</formula>
    </cfRule>
    <cfRule type="expression" dxfId="19" priority="24">
      <formula>IF(infotype=1,1,0)</formula>
    </cfRule>
  </conditionalFormatting>
  <conditionalFormatting sqref="E44">
    <cfRule type="expression" dxfId="18" priority="21">
      <formula>IF($E$43&gt;0,0,1)</formula>
    </cfRule>
  </conditionalFormatting>
  <conditionalFormatting sqref="N13:N28 N32">
    <cfRule type="expression" dxfId="17" priority="10">
      <formula>IF(AND(M12=0,M13=0),1,0)</formula>
    </cfRule>
  </conditionalFormatting>
  <conditionalFormatting sqref="M19">
    <cfRule type="expression" dxfId="16" priority="9">
      <formula>IF(Rental="Yes",1,0)</formula>
    </cfRule>
  </conditionalFormatting>
  <conditionalFormatting sqref="N12 N29:N30">
    <cfRule type="expression" dxfId="15" priority="11">
      <formula>IF(AND(#REF!=0,M12=0),1,0)</formula>
    </cfRule>
  </conditionalFormatting>
  <conditionalFormatting sqref="N31">
    <cfRule type="expression" dxfId="14" priority="8">
      <formula>IF(AND(M30=0,M31=0),1,0)</formula>
    </cfRule>
  </conditionalFormatting>
  <conditionalFormatting sqref="N30">
    <cfRule type="expression" dxfId="13" priority="7">
      <formula>IF(AND(#REF!=0,M30=0),1,0)</formula>
    </cfRule>
  </conditionalFormatting>
  <conditionalFormatting sqref="M26">
    <cfRule type="expression" dxfId="12" priority="5">
      <formula>IF($F$30="YTD",0,1)</formula>
    </cfRule>
  </conditionalFormatting>
  <conditionalFormatting sqref="I5:N35">
    <cfRule type="expression" dxfId="11" priority="12" stopIfTrue="1">
      <formula>IF(#REF!="MFY Legal Services Inc.'s Proprietary Waterfall Worksheet",0,1)</formula>
    </cfRule>
  </conditionalFormatting>
  <conditionalFormatting sqref="M7">
    <cfRule type="expression" dxfId="10" priority="49">
      <formula>IF($F$9="YTD",0,1)</formula>
    </cfRule>
  </conditionalFormatting>
  <conditionalFormatting sqref="C37 C25">
    <cfRule type="expression" dxfId="9" priority="50">
      <formula>IF($E$7="ARM",1,0)</formula>
    </cfRule>
  </conditionalFormatting>
  <conditionalFormatting sqref="E8">
    <cfRule type="expression" dxfId="8" priority="52">
      <formula>IF(OR($E$7="ARM",$E$6="Mortgage Statement"),0,1)</formula>
    </cfRule>
  </conditionalFormatting>
  <conditionalFormatting sqref="E7">
    <cfRule type="expression" dxfId="7" priority="4">
      <formula>IF($E$6="Mortgage Statement",1,0)</formula>
    </cfRule>
  </conditionalFormatting>
  <conditionalFormatting sqref="E10">
    <cfRule type="expression" dxfId="6" priority="3">
      <formula>IF($E$6="Mortgage Statement",1,0)</formula>
    </cfRule>
  </conditionalFormatting>
  <conditionalFormatting sqref="B10:B12 E11 B7">
    <cfRule type="expression" dxfId="5" priority="2">
      <formula>IF($E$6="Mortgage Statement",1,0)</formula>
    </cfRule>
  </conditionalFormatting>
  <conditionalFormatting sqref="E12">
    <cfRule type="expression" dxfId="4" priority="1">
      <formula>IF($E$6="Mortgage Statement",1,0)</formula>
    </cfRule>
  </conditionalFormatting>
  <dataValidations count="11">
    <dataValidation type="list" allowBlank="1" showInputMessage="1" showErrorMessage="1" sqref="E21" xr:uid="{00000000-0002-0000-0000-000004000000}">
      <formula1>"Capitalized UPB, UPB at Default, Only Default Date"</formula1>
    </dataValidation>
    <dataValidation allowBlank="1" showErrorMessage="1" promptTitle="Default Date" prompt="Enter the date of the first missed payment." sqref="B24" xr:uid="{00000000-0002-0000-0000-000005000000}"/>
    <dataValidation allowBlank="1" showInputMessage="1" showErrorMessage="1" promptTitle="Monthly P&amp;I" prompt="Enter the amount of monthly principal and interest currently due on the loan - not the initial amount or amount that borrower last paid." sqref="E8" xr:uid="{00000000-0002-0000-0000-000006000000}"/>
    <dataValidation type="date" allowBlank="1" showErrorMessage="1" errorTitle="Improper Date" error="Default Date cell must contain a valid date after the first payment is due, but before today." promptTitle="Default Date" prompt="Enter the date of default" sqref="E24" xr:uid="{00000000-0002-0000-0000-000000000000}">
      <formula1>E12</formula1>
      <formula2>E25</formula2>
    </dataValidation>
    <dataValidation type="list" allowBlank="1" showInputMessage="1" showErrorMessage="1" sqref="M6 M25" xr:uid="{26F2D71F-8238-4048-93F6-F62F59E6D7A7}">
      <formula1>"Weekly, Biweekly, Bimonthly, Monthly, Annual, YTD"</formula1>
    </dataValidation>
    <dataValidation allowBlank="1" showInputMessage="1" showErrorMessage="1" promptTitle="Monthly Contribution" prompt="Money provided on a monthly basis to the mortgage by a non-borrower occupant." sqref="I10 M10" xr:uid="{C8972E25-23C8-43FC-B7CC-44E93B8EBB28}"/>
    <dataValidation allowBlank="1" showInputMessage="1" showErrorMessage="1" promptTitle="Monthly Untaxed Income" prompt="Income that is not subject to federal income tax._x000a__x000a_Examples include SSI, SNAP, VA benefits and adoption assistance payments." sqref="I30 M30 M12 I12" xr:uid="{5CA2F7E3-7641-4549-A836-504A16F916C0}"/>
    <dataValidation allowBlank="1" showInputMessage="1" showErrorMessage="1" promptTitle="Monthly Fixed Income" prompt="Fixed income provided on a monthly basis._x000a__x000a_Examples include SSA, SSD and pension payments." sqref="I29 M29 M11 I11" xr:uid="{17F824F5-66E6-4533-AD9B-8FC5642803C4}"/>
    <dataValidation type="list" allowBlank="1" showInputMessage="1" showErrorMessage="1" sqref="E6" xr:uid="{74643340-532B-415F-B6D6-4B910E5664B1}">
      <formula1>"Mortgage Statement, Traditional View"</formula1>
    </dataValidation>
    <dataValidation allowBlank="1" showErrorMessage="1" promptTitle="Monthly P&amp;I" prompt="Enter the amount of monthly principal and interest currently due on the loan - not the initial amount or amount that borrower last paid." sqref="E9" xr:uid="{771D290F-8FB0-47F6-8AF1-F192B5C22F24}"/>
    <dataValidation type="list" allowBlank="1" showInputMessage="1" showErrorMessage="1" sqref="E7" xr:uid="{00000000-0002-0000-0000-000007000000}">
      <formula1>"Fixed Rate, ARM"</formula1>
    </dataValidation>
  </dataValidations>
  <pageMargins left="0.25" right="0.25" top="0.75" bottom="0.75" header="0.3" footer="0.3"/>
  <pageSetup scale="82" orientation="landscape" r:id="rId1"/>
  <headerFooter alignWithMargins="0">
    <oddHeader xml:space="preserve">&amp;L&amp;"Arial,Bold"&amp;14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9330-2B25-4064-95E2-0D1C0A193E51}">
  <sheetPr>
    <tabColor rgb="FFCC99FF"/>
  </sheetPr>
  <dimension ref="A2:P33"/>
  <sheetViews>
    <sheetView showGridLines="0" view="pageLayout" zoomScale="90" zoomScaleNormal="100" zoomScalePageLayoutView="90" workbookViewId="0">
      <selection activeCell="F30" sqref="F30"/>
    </sheetView>
  </sheetViews>
  <sheetFormatPr defaultRowHeight="12.5"/>
  <cols>
    <col min="1" max="1" width="3.90625" customWidth="1"/>
    <col min="2" max="2" width="7.453125" customWidth="1"/>
    <col min="5" max="5" width="20.1796875" customWidth="1"/>
    <col min="6" max="6" width="15.6328125" customWidth="1"/>
    <col min="7" max="7" width="3" customWidth="1"/>
    <col min="8" max="8" width="3.7265625" customWidth="1"/>
    <col min="9" max="9" width="21.90625" customWidth="1"/>
    <col min="10" max="10" width="7.90625" customWidth="1"/>
    <col min="11" max="11" width="15.453125" customWidth="1"/>
    <col min="12" max="12" width="8.08984375" customWidth="1"/>
    <col min="13" max="13" width="11.54296875" customWidth="1"/>
    <col min="14" max="14" width="11.54296875" bestFit="1" customWidth="1"/>
    <col min="18" max="18" width="16.90625" customWidth="1"/>
    <col min="19" max="19" width="12.1796875" bestFit="1" customWidth="1"/>
  </cols>
  <sheetData>
    <row r="2" spans="1:16" ht="15.5">
      <c r="A2" s="87"/>
      <c r="B2" s="88"/>
      <c r="C2" s="88"/>
      <c r="D2" s="88"/>
      <c r="E2" s="89" t="s">
        <v>77</v>
      </c>
      <c r="F2" s="88"/>
      <c r="G2" s="90"/>
      <c r="H2" s="153" t="s">
        <v>126</v>
      </c>
      <c r="I2" s="154"/>
      <c r="J2" s="154"/>
      <c r="K2" s="154"/>
      <c r="L2" s="155"/>
    </row>
    <row r="3" spans="1:16">
      <c r="A3" s="85"/>
      <c r="B3" s="86"/>
      <c r="C3" s="86"/>
      <c r="D3" s="86"/>
      <c r="E3" s="86"/>
      <c r="F3" s="86"/>
      <c r="G3" s="45"/>
      <c r="H3" s="1"/>
      <c r="I3" s="1"/>
      <c r="J3" s="1"/>
      <c r="K3" s="1"/>
      <c r="L3" s="6"/>
    </row>
    <row r="4" spans="1:16" ht="14">
      <c r="A4" s="91"/>
      <c r="B4" s="4"/>
      <c r="C4" s="4"/>
      <c r="D4" s="4"/>
      <c r="E4" s="92" t="s">
        <v>73</v>
      </c>
      <c r="F4" s="4"/>
      <c r="G4" s="9"/>
      <c r="H4" s="1"/>
      <c r="I4" s="16" t="s">
        <v>118</v>
      </c>
      <c r="J4" s="1"/>
      <c r="K4" s="98">
        <f ca="1">IF(F9&gt;=F8,Inputs!E18/GMI,"N/A")</f>
        <v>0.4856266666666666</v>
      </c>
      <c r="L4" s="6"/>
      <c r="P4" s="30"/>
    </row>
    <row r="5" spans="1:16" ht="14">
      <c r="A5" s="91"/>
      <c r="B5" s="4"/>
      <c r="C5" s="4"/>
      <c r="D5" s="4"/>
      <c r="E5" s="92"/>
      <c r="F5" s="4"/>
      <c r="G5" s="9"/>
      <c r="H5" s="1"/>
      <c r="I5" s="16" t="s">
        <v>117</v>
      </c>
      <c r="J5" s="1"/>
      <c r="K5" s="98">
        <f>F32/GMI</f>
        <v>0.67134988893964742</v>
      </c>
      <c r="L5" s="6"/>
    </row>
    <row r="6" spans="1:16" ht="14.5" thickBot="1">
      <c r="A6" s="91"/>
      <c r="B6" s="4"/>
      <c r="C6" s="17" t="s">
        <v>89</v>
      </c>
      <c r="D6" s="4"/>
      <c r="E6" s="92"/>
      <c r="F6" s="108" t="s">
        <v>134</v>
      </c>
      <c r="G6" s="9"/>
      <c r="H6" s="1"/>
      <c r="I6" s="1"/>
      <c r="J6" s="1"/>
      <c r="K6" s="1"/>
      <c r="L6" s="6"/>
    </row>
    <row r="7" spans="1:16" ht="13" thickBot="1">
      <c r="A7" s="91"/>
      <c r="B7" s="4"/>
      <c r="C7" s="17" t="str">
        <f>IF(F6="Yes","Enter Reinstatement"," ")</f>
        <v>Enter Reinstatement</v>
      </c>
      <c r="D7" s="4"/>
      <c r="E7" s="93"/>
      <c r="F7" s="106">
        <v>126924.07</v>
      </c>
      <c r="G7" s="9"/>
      <c r="H7" s="1"/>
      <c r="I7" s="16" t="s">
        <v>119</v>
      </c>
      <c r="J7" s="1"/>
      <c r="K7" s="138">
        <f ca="1">IF(MIN(K4,K5)&lt;=0.35,"None",MIN(UPB-F27,'Data Validation'!F22))</f>
        <v>332273.33</v>
      </c>
      <c r="L7" s="6"/>
    </row>
    <row r="8" spans="1:16" ht="13" thickBot="1">
      <c r="A8" s="91"/>
      <c r="B8" s="4"/>
      <c r="C8" s="4" t="str">
        <f>IF(F6="Yes"," ","Estimated Reinstatement Amount")</f>
        <v xml:space="preserve"> </v>
      </c>
      <c r="D8" s="4"/>
      <c r="E8" s="4"/>
      <c r="F8" s="96">
        <f ca="1">ROUND(Inputs!E26*Inputs!E18+Inputs!E33,2)</f>
        <v>48160.74</v>
      </c>
      <c r="G8" s="9"/>
      <c r="H8" s="1"/>
      <c r="I8" s="1"/>
      <c r="J8" s="1"/>
      <c r="K8" s="1"/>
      <c r="L8" s="6"/>
      <c r="M8" s="30"/>
    </row>
    <row r="9" spans="1:16" ht="13" thickBot="1">
      <c r="A9" s="91"/>
      <c r="B9" s="4"/>
      <c r="C9" s="4" t="s">
        <v>74</v>
      </c>
      <c r="D9" s="4"/>
      <c r="E9" s="4"/>
      <c r="F9" s="97">
        <f>Inputs!E45</f>
        <v>137681.785</v>
      </c>
      <c r="G9" s="9"/>
      <c r="H9" s="1"/>
      <c r="I9" s="16" t="s">
        <v>114</v>
      </c>
      <c r="J9" s="1"/>
      <c r="K9" s="129">
        <v>50000</v>
      </c>
      <c r="L9" s="6"/>
    </row>
    <row r="10" spans="1:16">
      <c r="A10" s="91"/>
      <c r="B10" s="1"/>
      <c r="C10" s="4"/>
      <c r="D10" s="4"/>
      <c r="E10" s="4"/>
      <c r="F10" s="107"/>
      <c r="G10" s="9"/>
      <c r="H10" s="1"/>
      <c r="I10" s="1"/>
      <c r="J10" s="1"/>
      <c r="K10" s="1"/>
      <c r="L10" s="6"/>
    </row>
    <row r="11" spans="1:16">
      <c r="A11" s="91"/>
      <c r="B11" s="99" t="str">
        <f>IF(F9&gt;=Reinstate,_xlfn.CONCAT("Eligible for Standalone Partial Claim of $",'Data Validation'!H17),"Not Eligible for Standalone Partial Claim")</f>
        <v>Eligible for Standalone Partial Claim of $126924.07</v>
      </c>
      <c r="C11" s="4"/>
      <c r="D11" s="4"/>
      <c r="E11" s="4"/>
      <c r="F11" s="4"/>
      <c r="G11" s="9"/>
      <c r="H11" s="1"/>
      <c r="I11" s="1"/>
      <c r="J11" s="1"/>
      <c r="K11" s="1"/>
      <c r="L11" s="6"/>
    </row>
    <row r="12" spans="1:16" ht="15.5">
      <c r="A12" s="91"/>
      <c r="B12" s="4"/>
      <c r="C12" s="4"/>
      <c r="D12" s="4"/>
      <c r="E12" s="4"/>
      <c r="F12" s="4"/>
      <c r="G12" s="9"/>
      <c r="H12" s="1"/>
      <c r="I12" s="152" t="s">
        <v>124</v>
      </c>
      <c r="J12" s="152"/>
      <c r="K12" s="152"/>
      <c r="L12" s="6"/>
    </row>
    <row r="13" spans="1:16" ht="15.5">
      <c r="A13" s="91"/>
      <c r="B13" s="94"/>
      <c r="C13" s="4"/>
      <c r="D13" s="4"/>
      <c r="E13" s="92" t="s">
        <v>75</v>
      </c>
      <c r="F13" s="4"/>
      <c r="G13" s="9"/>
      <c r="H13" s="1"/>
      <c r="I13" s="130"/>
      <c r="J13" s="130"/>
      <c r="K13" s="130"/>
      <c r="L13" s="6"/>
    </row>
    <row r="14" spans="1:16" ht="14">
      <c r="A14" s="91"/>
      <c r="B14" s="4"/>
      <c r="C14" s="4"/>
      <c r="D14" s="4"/>
      <c r="E14" s="92"/>
      <c r="F14" s="4"/>
      <c r="G14" s="6"/>
      <c r="H14" s="1"/>
      <c r="I14" s="16" t="s">
        <v>21</v>
      </c>
      <c r="J14" s="1"/>
      <c r="K14" s="101">
        <f>F27</f>
        <v>137681.785</v>
      </c>
      <c r="L14" s="6"/>
    </row>
    <row r="15" spans="1:16" ht="13">
      <c r="A15" s="91"/>
      <c r="B15" s="4"/>
      <c r="C15" s="4"/>
      <c r="D15" s="4"/>
      <c r="E15" s="104" t="s">
        <v>76</v>
      </c>
      <c r="F15" s="1"/>
      <c r="G15" s="6"/>
      <c r="H15" s="1"/>
      <c r="I15" s="16" t="s">
        <v>79</v>
      </c>
      <c r="J15" s="1"/>
      <c r="K15" s="101">
        <f>F28-HAF</f>
        <v>459782.23499999999</v>
      </c>
      <c r="L15" s="6"/>
    </row>
    <row r="16" spans="1:16" ht="13">
      <c r="A16" s="91"/>
      <c r="B16" s="10" t="s">
        <v>92</v>
      </c>
      <c r="C16" s="17" t="s">
        <v>86</v>
      </c>
      <c r="D16" s="4"/>
      <c r="E16" s="1"/>
      <c r="F16" s="97">
        <f>F9</f>
        <v>137681.785</v>
      </c>
      <c r="G16" s="6"/>
      <c r="H16" s="1"/>
      <c r="I16" s="16" t="s">
        <v>58</v>
      </c>
      <c r="J16" s="1"/>
      <c r="K16" s="102">
        <f>Market</f>
        <v>3.2500000000000001E-2</v>
      </c>
      <c r="L16" s="6"/>
    </row>
    <row r="17" spans="1:12" ht="13">
      <c r="A17" s="91"/>
      <c r="B17" s="10" t="s">
        <v>93</v>
      </c>
      <c r="C17" s="17" t="s">
        <v>87</v>
      </c>
      <c r="D17" s="4"/>
      <c r="E17" s="1"/>
      <c r="F17" s="97">
        <f>Inputs!E34</f>
        <v>96736.88</v>
      </c>
      <c r="G17" s="6"/>
      <c r="H17" s="1"/>
      <c r="I17" s="16" t="s">
        <v>59</v>
      </c>
      <c r="J17" s="1"/>
      <c r="K17" s="103">
        <v>360</v>
      </c>
      <c r="L17" s="6"/>
    </row>
    <row r="18" spans="1:12" ht="13">
      <c r="A18" s="91"/>
      <c r="B18" s="10" t="s">
        <v>94</v>
      </c>
      <c r="C18" s="17" t="s">
        <v>81</v>
      </c>
      <c r="D18" s="4"/>
      <c r="E18" s="1"/>
      <c r="F18" s="97">
        <f>IF(F16&gt;=F17,F17,F16)</f>
        <v>96736.88</v>
      </c>
      <c r="G18" s="6"/>
      <c r="H18" s="1"/>
      <c r="I18" s="16" t="s">
        <v>72</v>
      </c>
      <c r="J18" s="1"/>
      <c r="K18" s="100">
        <f>PMT(Market/12,360,-K15)</f>
        <v>2001.0013406922228</v>
      </c>
      <c r="L18" s="6"/>
    </row>
    <row r="19" spans="1:12">
      <c r="A19" s="91"/>
      <c r="B19" s="105"/>
      <c r="C19" s="17" t="s">
        <v>82</v>
      </c>
      <c r="D19" s="4"/>
      <c r="E19" s="1"/>
      <c r="F19" s="96">
        <f>UPB-F18</f>
        <v>550727.14</v>
      </c>
      <c r="G19" s="6"/>
      <c r="H19" s="1"/>
      <c r="I19" s="16" t="s">
        <v>88</v>
      </c>
      <c r="J19" s="1"/>
      <c r="K19" s="101">
        <f>K18+SUM(ESCROW)</f>
        <v>2803.4713406922228</v>
      </c>
      <c r="L19" s="6"/>
    </row>
    <row r="20" spans="1:12">
      <c r="A20" s="91"/>
      <c r="B20" s="105"/>
      <c r="C20" s="4" t="str">
        <f>_xlfn.CONCAT("Payment at 360 Months and ",Market*100,"%")</f>
        <v>Payment at 360 Months and 3.25%</v>
      </c>
      <c r="D20" s="4"/>
      <c r="E20" s="1"/>
      <c r="F20" s="97">
        <f>PMT(Market/12,360,-F19)</f>
        <v>2396.7993141265961</v>
      </c>
      <c r="G20" s="6"/>
      <c r="H20" s="1"/>
      <c r="I20" s="16" t="s">
        <v>115</v>
      </c>
      <c r="J20" s="1"/>
      <c r="K20" s="128">
        <f>K19/GMI</f>
        <v>0.62299363126493845</v>
      </c>
      <c r="L20" s="6"/>
    </row>
    <row r="21" spans="1:12">
      <c r="A21" s="91"/>
      <c r="B21" s="105"/>
      <c r="C21" s="17" t="s">
        <v>83</v>
      </c>
      <c r="D21" s="4"/>
      <c r="E21" s="1"/>
      <c r="F21" s="96">
        <f>Inputs!E17*0.75</f>
        <v>1037.1374999999998</v>
      </c>
      <c r="G21" s="6"/>
      <c r="H21" s="1"/>
      <c r="I21" s="1"/>
      <c r="J21" s="1"/>
      <c r="K21" s="1"/>
      <c r="L21" s="6"/>
    </row>
    <row r="22" spans="1:12" ht="15.5">
      <c r="A22" s="91"/>
      <c r="B22" s="10" t="s">
        <v>91</v>
      </c>
      <c r="C22" s="17" t="s">
        <v>84</v>
      </c>
      <c r="D22" s="4"/>
      <c r="E22" s="1"/>
      <c r="F22" s="97">
        <f>IF(F21&gt;=F20,0,F19+PV(Market/12,360,F21))</f>
        <v>312417.75556582934</v>
      </c>
      <c r="G22" s="6"/>
      <c r="H22" s="1"/>
      <c r="I22" s="152" t="s">
        <v>125</v>
      </c>
      <c r="J22" s="152"/>
      <c r="K22" s="152"/>
      <c r="L22" s="6"/>
    </row>
    <row r="23" spans="1:12" ht="13">
      <c r="A23" s="91"/>
      <c r="B23" s="4"/>
      <c r="C23" s="4" t="s">
        <v>78</v>
      </c>
      <c r="D23" s="4"/>
      <c r="E23" s="1"/>
      <c r="F23" s="96">
        <f>F16-F18</f>
        <v>40944.904999999999</v>
      </c>
      <c r="G23" s="6"/>
      <c r="H23" s="1"/>
      <c r="I23" s="131"/>
      <c r="J23" s="131"/>
      <c r="K23" s="131"/>
      <c r="L23" s="6"/>
    </row>
    <row r="24" spans="1:12">
      <c r="A24" s="91"/>
      <c r="B24" s="4"/>
      <c r="C24" s="14" t="s">
        <v>85</v>
      </c>
      <c r="D24" s="4"/>
      <c r="E24" s="1"/>
      <c r="F24" s="96">
        <f>IF(F23&gt;=F22,F22,F23)</f>
        <v>40944.904999999999</v>
      </c>
      <c r="G24" s="6"/>
      <c r="H24" s="1"/>
      <c r="I24" s="16" t="s">
        <v>21</v>
      </c>
      <c r="J24" s="1"/>
      <c r="K24" s="101">
        <f>F9</f>
        <v>137681.785</v>
      </c>
      <c r="L24" s="6"/>
    </row>
    <row r="25" spans="1:12">
      <c r="A25" s="7"/>
      <c r="B25" s="4"/>
      <c r="C25" s="4"/>
      <c r="D25" s="4"/>
      <c r="E25" s="1"/>
      <c r="F25" s="1"/>
      <c r="G25" s="6"/>
      <c r="H25" s="1"/>
      <c r="I25" s="16" t="s">
        <v>115</v>
      </c>
      <c r="J25" s="1"/>
      <c r="K25" s="128">
        <f>Inputs!E18/GMI</f>
        <v>0.4856266666666666</v>
      </c>
      <c r="L25" s="6"/>
    </row>
    <row r="26" spans="1:12" ht="13">
      <c r="A26" s="91"/>
      <c r="B26" s="4"/>
      <c r="C26" s="4"/>
      <c r="D26" s="4"/>
      <c r="E26" s="104" t="s">
        <v>12</v>
      </c>
      <c r="F26" s="1"/>
      <c r="G26" s="6"/>
      <c r="H26" s="1"/>
      <c r="I26" s="1"/>
      <c r="J26" s="1"/>
      <c r="K26" s="1"/>
      <c r="L26" s="6"/>
    </row>
    <row r="27" spans="1:12">
      <c r="A27" s="91"/>
      <c r="B27" s="4"/>
      <c r="C27" s="4" t="s">
        <v>21</v>
      </c>
      <c r="D27" s="4"/>
      <c r="E27" s="1"/>
      <c r="F27" s="100">
        <f>F18+F24</f>
        <v>137681.785</v>
      </c>
      <c r="G27" s="6"/>
      <c r="H27" s="1"/>
      <c r="I27" s="1"/>
      <c r="J27" s="1"/>
      <c r="K27" s="1"/>
      <c r="L27" s="6"/>
    </row>
    <row r="28" spans="1:12">
      <c r="A28" s="91"/>
      <c r="B28" s="4"/>
      <c r="C28" s="4" t="s">
        <v>79</v>
      </c>
      <c r="D28" s="4"/>
      <c r="E28" s="1"/>
      <c r="F28" s="101">
        <f>UPB-F27</f>
        <v>509782.23499999999</v>
      </c>
      <c r="G28" s="6"/>
      <c r="H28" s="1"/>
      <c r="I28" s="1"/>
      <c r="J28" s="1"/>
      <c r="K28" s="1"/>
      <c r="L28" s="6"/>
    </row>
    <row r="29" spans="1:12">
      <c r="A29" s="91"/>
      <c r="B29" s="4"/>
      <c r="C29" s="4" t="s">
        <v>58</v>
      </c>
      <c r="D29" s="4"/>
      <c r="E29" s="1"/>
      <c r="F29" s="102">
        <f>Market</f>
        <v>3.2500000000000001E-2</v>
      </c>
      <c r="G29" s="6"/>
      <c r="H29" s="1"/>
      <c r="I29" s="1"/>
      <c r="J29" s="1"/>
      <c r="K29" s="1"/>
      <c r="L29" s="6"/>
    </row>
    <row r="30" spans="1:12">
      <c r="A30" s="91"/>
      <c r="B30" s="4"/>
      <c r="C30" s="4" t="s">
        <v>59</v>
      </c>
      <c r="D30" s="4"/>
      <c r="E30" s="1"/>
      <c r="F30" s="103">
        <v>360</v>
      </c>
      <c r="G30" s="6"/>
      <c r="H30" s="1"/>
      <c r="I30" s="1"/>
      <c r="J30" s="1"/>
      <c r="K30" s="1"/>
      <c r="L30" s="6"/>
    </row>
    <row r="31" spans="1:12">
      <c r="A31" s="91"/>
      <c r="B31" s="4"/>
      <c r="C31" s="4" t="s">
        <v>80</v>
      </c>
      <c r="D31" s="4"/>
      <c r="E31" s="1"/>
      <c r="F31" s="100">
        <f>PMT(F29/12,F30,-F28)</f>
        <v>2218.6045002284131</v>
      </c>
      <c r="G31" s="6"/>
      <c r="H31" s="1"/>
      <c r="I31" s="1"/>
      <c r="J31" s="1"/>
      <c r="K31" s="1"/>
      <c r="L31" s="6"/>
    </row>
    <row r="32" spans="1:12">
      <c r="A32" s="91"/>
      <c r="B32" s="4"/>
      <c r="C32" s="17" t="s">
        <v>88</v>
      </c>
      <c r="D32" s="4"/>
      <c r="E32" s="1"/>
      <c r="F32" s="101">
        <f>F31+Inputs!E18-Inputs!E17</f>
        <v>3021.0745002284134</v>
      </c>
      <c r="G32" s="6"/>
      <c r="H32" s="1"/>
      <c r="I32" s="1"/>
      <c r="J32" s="1"/>
      <c r="K32" s="1"/>
      <c r="L32" s="6"/>
    </row>
    <row r="33" spans="1:12">
      <c r="A33" s="95"/>
      <c r="B33" s="11"/>
      <c r="C33" s="11"/>
      <c r="D33" s="11"/>
      <c r="E33" s="11"/>
      <c r="F33" s="11"/>
      <c r="G33" s="11"/>
      <c r="H33" s="95"/>
      <c r="I33" s="11"/>
      <c r="J33" s="11"/>
      <c r="K33" s="11"/>
      <c r="L33" s="132"/>
    </row>
  </sheetData>
  <mergeCells count="3">
    <mergeCell ref="I12:K12"/>
    <mergeCell ref="I22:K22"/>
    <mergeCell ref="H2:L2"/>
  </mergeCells>
  <conditionalFormatting sqref="F7">
    <cfRule type="expression" dxfId="3" priority="4">
      <formula>IF($F$6="Yes",0,1)</formula>
    </cfRule>
  </conditionalFormatting>
  <conditionalFormatting sqref="F8">
    <cfRule type="expression" dxfId="2" priority="3">
      <formula>IF($F$6="Yes",1,0)</formula>
    </cfRule>
  </conditionalFormatting>
  <conditionalFormatting sqref="I12:K25">
    <cfRule type="expression" dxfId="1" priority="1" stopIfTrue="1">
      <formula>IF($K$9&gt;0,0,1)</formula>
    </cfRule>
  </conditionalFormatting>
  <dataValidations count="1">
    <dataValidation type="list" allowBlank="1" showInputMessage="1" showErrorMessage="1" sqref="F6" xr:uid="{00000000-0002-0000-0000-000003000000}">
      <formula1>"Yes, No"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B8D5569-E855-4A61-A7AB-AEBFCE013FD6}">
            <xm:f>IF('Data Validation'!$J$26,0,1)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I22:K25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18"/>
  <sheetViews>
    <sheetView workbookViewId="0">
      <selection activeCell="E17" sqref="E17"/>
    </sheetView>
  </sheetViews>
  <sheetFormatPr defaultColWidth="8.81640625" defaultRowHeight="12.5"/>
  <cols>
    <col min="1" max="1" width="15.81640625" bestFit="1" customWidth="1"/>
    <col min="2" max="2" width="18" customWidth="1"/>
    <col min="3" max="3" width="18.81640625" customWidth="1"/>
    <col min="5" max="5" width="17.26953125" customWidth="1"/>
    <col min="6" max="6" width="16" customWidth="1"/>
    <col min="7" max="7" width="14" customWidth="1"/>
    <col min="8" max="8" width="14.453125" customWidth="1"/>
    <col min="9" max="9" width="16.81640625" customWidth="1"/>
    <col min="10" max="10" width="12.81640625" customWidth="1"/>
    <col min="11" max="11" width="13.26953125" customWidth="1"/>
    <col min="12" max="12" width="14.7265625" customWidth="1"/>
  </cols>
  <sheetData>
    <row r="1" spans="1:12">
      <c r="A1" t="s">
        <v>10</v>
      </c>
      <c r="B1">
        <f ca="1">ROUNDUP((TODAY-FPAY)/360,0)</f>
        <v>8</v>
      </c>
      <c r="F1" s="75">
        <v>40455</v>
      </c>
      <c r="G1" s="75">
        <v>40651</v>
      </c>
      <c r="H1" s="75">
        <v>41008</v>
      </c>
      <c r="I1" s="75">
        <v>41071</v>
      </c>
      <c r="J1" s="75">
        <v>41365</v>
      </c>
      <c r="K1" s="75">
        <v>41428</v>
      </c>
      <c r="L1" s="74" t="s">
        <v>66</v>
      </c>
    </row>
    <row r="2" spans="1:12">
      <c r="A2" s="30" t="s">
        <v>32</v>
      </c>
      <c r="B2" s="55" t="e">
        <f>IF(Inputs!E7="ARM",ORATE,rate)</f>
        <v>#REF!</v>
      </c>
      <c r="F2" s="74">
        <f>IF(FPAY&lt;F1,1,0)</f>
        <v>0</v>
      </c>
      <c r="G2" s="74">
        <f>IF(AND(FPAY&gt;F1,FPAY&lt;=G1),1,0)</f>
        <v>0</v>
      </c>
      <c r="H2" s="74">
        <f>IF(AND(FPAY&gt;G1,FPAY&lt;=H1),1,0)</f>
        <v>0</v>
      </c>
      <c r="I2" s="74">
        <f>IF(AND(FPAY&gt;H1,FPAY&lt;=I1),1,0)</f>
        <v>0</v>
      </c>
      <c r="J2" s="74">
        <f>IF(AND(FPAY&gt;I1,FPAY&lt;=J1),1,0)</f>
        <v>0</v>
      </c>
      <c r="K2" s="74">
        <f>IF(AND(FPAY&gt;J1,FPAY&lt;=K1),1,0)</f>
        <v>0</v>
      </c>
      <c r="L2" s="74">
        <f>IF(FPAY&gt;=K1,1,0)</f>
        <v>1</v>
      </c>
    </row>
    <row r="3" spans="1:12">
      <c r="A3" t="s">
        <v>9</v>
      </c>
      <c r="B3" s="29" t="s">
        <v>8</v>
      </c>
      <c r="C3" t="s">
        <v>7</v>
      </c>
      <c r="E3" t="s">
        <v>65</v>
      </c>
      <c r="F3" s="76">
        <v>2.2499999999999999E-2</v>
      </c>
      <c r="G3" s="77">
        <v>0.01</v>
      </c>
      <c r="H3" s="77">
        <v>0.01</v>
      </c>
      <c r="I3" s="78">
        <v>1.7500000000000002E-2</v>
      </c>
      <c r="J3" s="78">
        <v>1.7500000000000002E-2</v>
      </c>
      <c r="K3" s="78">
        <v>1.7500000000000002E-2</v>
      </c>
      <c r="L3" s="78">
        <v>1.7500000000000002E-2</v>
      </c>
    </row>
    <row r="4" spans="1:12">
      <c r="A4">
        <f ca="1">(B1-1)*12+1</f>
        <v>85</v>
      </c>
      <c r="B4" s="27" t="e">
        <f ca="1">IF(A4=1,OPRINC,OPRINC+CUMPRINC($B$2/12,LOANTERM,OPRINC,1,A4-1,0))</f>
        <v>#REF!</v>
      </c>
      <c r="C4" s="28" t="e">
        <f ca="1">AVERAGE(B4:B15)</f>
        <v>#REF!</v>
      </c>
      <c r="E4" t="s">
        <v>67</v>
      </c>
      <c r="F4" s="73">
        <f>0.5%</f>
        <v>5.0000000000000001E-3</v>
      </c>
      <c r="G4" s="73" t="e">
        <f>IF(C13&gt;95%,0.85%,0.9%)</f>
        <v>#NAME?</v>
      </c>
      <c r="H4" s="73" t="e">
        <f>IF(C13&gt;95%,1.1%,1.15%)</f>
        <v>#NAME?</v>
      </c>
      <c r="I4" s="73" t="e">
        <f>IF(C13&gt;95%,1.2%,1.25%)</f>
        <v>#NAME?</v>
      </c>
      <c r="J4" s="73" t="e">
        <f>IF(C13&gt;95%,1.2%,1.25%)+IF(OPRINC&gt;(625000-C10),0.25%,0)</f>
        <v>#NAME?</v>
      </c>
      <c r="K4" s="73" t="e">
        <f>IF(C13&gt;95%,1.3%,1.35%)+IF(OPRINC&gt;(625000-C10),0.2%,0)</f>
        <v>#NAME?</v>
      </c>
      <c r="L4" s="73" t="e">
        <f>IF(C13&gt;95%,1.3%,1.35%)+IF(OPRINC&gt;(625000-C10),0.2%,0)</f>
        <v>#NAME?</v>
      </c>
    </row>
    <row r="5" spans="1:12">
      <c r="A5">
        <f t="shared" ref="A5:A15" ca="1" si="0">A4+1</f>
        <v>86</v>
      </c>
      <c r="B5" s="27" t="e">
        <f t="shared" ref="B5:B15" ca="1" si="1">OPRINC+CUMPRINC($B$2/12,LOANTERM,OPRINC,1,A5-1,0)</f>
        <v>#REF!</v>
      </c>
      <c r="E5" t="s">
        <v>69</v>
      </c>
      <c r="F5" s="79" t="e">
        <f t="shared" ref="F5:K5" si="2">IF(AND(OVALUE*0.78&lt;(DUPB/(1+UFMIPRATE)),ROUNDUP(DAYS360(FPAY,DDate)/30,0)&gt;60),0,1)</f>
        <v>#REF!</v>
      </c>
      <c r="G5" s="79" t="e">
        <f t="shared" si="2"/>
        <v>#REF!</v>
      </c>
      <c r="H5" s="79" t="e">
        <f t="shared" si="2"/>
        <v>#REF!</v>
      </c>
      <c r="I5" s="79" t="e">
        <f t="shared" si="2"/>
        <v>#REF!</v>
      </c>
      <c r="J5" s="79" t="e">
        <f t="shared" si="2"/>
        <v>#REF!</v>
      </c>
      <c r="K5" s="79" t="e">
        <f t="shared" si="2"/>
        <v>#REF!</v>
      </c>
      <c r="L5" s="79" t="e">
        <f>IF(C13&gt;90%,0,IF(AND(OVALUE*0.78&lt;(DUPB/(1+UFMIPRATE)),ROUNDUP(DAYS360(FPAY,DDate)/30,0)&gt;132),0,1))</f>
        <v>#NAME?</v>
      </c>
    </row>
    <row r="6" spans="1:12">
      <c r="A6">
        <f t="shared" ca="1" si="0"/>
        <v>87</v>
      </c>
      <c r="B6" s="27" t="e">
        <f t="shared" ca="1" si="1"/>
        <v>#REF!</v>
      </c>
      <c r="C6" t="s">
        <v>6</v>
      </c>
      <c r="F6" s="27"/>
    </row>
    <row r="7" spans="1:12">
      <c r="A7">
        <f t="shared" ca="1" si="0"/>
        <v>88</v>
      </c>
      <c r="B7" s="27" t="e">
        <f t="shared" ca="1" si="1"/>
        <v>#REF!</v>
      </c>
      <c r="C7" s="27" t="e">
        <f ca="1">MIPRATE*C4/12/(1+UFMIPRATE)*HLOOKUP(1,MIPMATRIX,4,FALSE)</f>
        <v>#NAME?</v>
      </c>
      <c r="F7" s="27"/>
      <c r="G7" s="27"/>
    </row>
    <row r="8" spans="1:12">
      <c r="A8">
        <f t="shared" ca="1" si="0"/>
        <v>89</v>
      </c>
      <c r="B8" s="27" t="e">
        <f t="shared" ca="1" si="1"/>
        <v>#REF!</v>
      </c>
      <c r="F8" s="27"/>
    </row>
    <row r="9" spans="1:12">
      <c r="A9">
        <f t="shared" ca="1" si="0"/>
        <v>90</v>
      </c>
      <c r="B9" s="27" t="e">
        <f t="shared" ca="1" si="1"/>
        <v>#REF!</v>
      </c>
      <c r="C9" t="s">
        <v>68</v>
      </c>
      <c r="F9" s="27"/>
    </row>
    <row r="10" spans="1:12">
      <c r="A10">
        <f t="shared" ca="1" si="0"/>
        <v>91</v>
      </c>
      <c r="B10" s="27" t="e">
        <f t="shared" ca="1" si="1"/>
        <v>#REF!</v>
      </c>
      <c r="C10" s="27" t="e">
        <f>UFMIPRATE*OPRINC/(1+UFMIPRATE)</f>
        <v>#NAME?</v>
      </c>
      <c r="F10" s="27"/>
    </row>
    <row r="11" spans="1:12">
      <c r="A11">
        <f t="shared" ca="1" si="0"/>
        <v>92</v>
      </c>
      <c r="B11" s="27" t="e">
        <f t="shared" ca="1" si="1"/>
        <v>#REF!</v>
      </c>
      <c r="F11" s="27"/>
    </row>
    <row r="12" spans="1:12">
      <c r="A12">
        <f t="shared" ca="1" si="0"/>
        <v>93</v>
      </c>
      <c r="B12" s="27" t="e">
        <f t="shared" ca="1" si="1"/>
        <v>#REF!</v>
      </c>
      <c r="C12" t="s">
        <v>63</v>
      </c>
      <c r="F12" s="27"/>
    </row>
    <row r="13" spans="1:12">
      <c r="A13">
        <f t="shared" ca="1" si="0"/>
        <v>94</v>
      </c>
      <c r="B13" s="27" t="e">
        <f t="shared" ca="1" si="1"/>
        <v>#REF!</v>
      </c>
      <c r="C13" s="73" t="e">
        <f>(OPRINC-C10)/OVALUE</f>
        <v>#NAME?</v>
      </c>
      <c r="F13" s="27"/>
    </row>
    <row r="14" spans="1:12">
      <c r="A14">
        <f t="shared" ca="1" si="0"/>
        <v>95</v>
      </c>
      <c r="B14" s="27" t="e">
        <f t="shared" ca="1" si="1"/>
        <v>#REF!</v>
      </c>
      <c r="F14" s="27"/>
    </row>
    <row r="15" spans="1:12">
      <c r="A15">
        <f t="shared" ca="1" si="0"/>
        <v>96</v>
      </c>
      <c r="B15" s="27" t="e">
        <f t="shared" ca="1" si="1"/>
        <v>#REF!</v>
      </c>
      <c r="C15" t="s">
        <v>64</v>
      </c>
      <c r="F15" s="27"/>
    </row>
    <row r="16" spans="1:12">
      <c r="C16" s="73" t="e">
        <f>DUPB/(OVALUE/(1+UFMIPRATE))</f>
        <v>#REF!</v>
      </c>
    </row>
    <row r="17" spans="1:2">
      <c r="A17" t="s">
        <v>62</v>
      </c>
      <c r="B17" t="s">
        <v>61</v>
      </c>
    </row>
    <row r="18" spans="1:2">
      <c r="A18" t="e">
        <f>HLOOKUP(1,MIPMATRIX,3,FALSE)</f>
        <v>#NAME?</v>
      </c>
      <c r="B18" t="e">
        <f>IF(MIPFIN="No",0,HLOOKUP(1,MIPMATRIX,2,FALSE))</f>
        <v>#NAME?</v>
      </c>
    </row>
  </sheetData>
  <dataConsolidate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C99FF"/>
    <pageSetUpPr autoPageBreaks="0"/>
  </sheetPr>
  <dimension ref="A1:I54"/>
  <sheetViews>
    <sheetView showGridLines="0" zoomScaleNormal="100" workbookViewId="0">
      <selection activeCell="A17" sqref="A17:E17"/>
    </sheetView>
  </sheetViews>
  <sheetFormatPr defaultColWidth="8.81640625" defaultRowHeight="12.5"/>
  <cols>
    <col min="1" max="1" width="18.1796875" customWidth="1"/>
    <col min="2" max="2" width="9" customWidth="1"/>
    <col min="3" max="3" width="23.453125" customWidth="1"/>
    <col min="4" max="4" width="16" customWidth="1"/>
    <col min="5" max="5" width="24.453125" customWidth="1"/>
  </cols>
  <sheetData>
    <row r="1" spans="1:9" ht="17.5">
      <c r="A1" s="139" t="s">
        <v>23</v>
      </c>
      <c r="B1" s="140"/>
      <c r="C1" s="140"/>
      <c r="D1" s="140"/>
      <c r="E1" s="141"/>
    </row>
    <row r="2" spans="1:9" ht="17.5">
      <c r="A2" s="37"/>
      <c r="B2" s="38"/>
      <c r="C2" s="38"/>
      <c r="D2" s="38"/>
      <c r="E2" s="39"/>
    </row>
    <row r="3" spans="1:9">
      <c r="A3" s="33"/>
      <c r="B3" s="34"/>
      <c r="C3" s="34"/>
      <c r="D3" s="34"/>
      <c r="E3" s="35"/>
    </row>
    <row r="4" spans="1:9">
      <c r="A4" s="33"/>
      <c r="B4" s="34"/>
      <c r="E4" s="35"/>
    </row>
    <row r="5" spans="1:9">
      <c r="A5" s="33"/>
      <c r="B5" s="34"/>
      <c r="E5" s="35"/>
    </row>
    <row r="6" spans="1:9">
      <c r="A6" s="33"/>
      <c r="B6" s="34"/>
      <c r="E6" s="35"/>
    </row>
    <row r="7" spans="1:9">
      <c r="A7" s="33"/>
      <c r="B7" s="34"/>
      <c r="E7" s="35"/>
    </row>
    <row r="8" spans="1:9">
      <c r="A8" s="33"/>
      <c r="B8" s="34"/>
      <c r="E8" s="35"/>
      <c r="I8" s="47"/>
    </row>
    <row r="9" spans="1:9">
      <c r="A9" s="33"/>
      <c r="B9" s="34"/>
      <c r="E9" s="35"/>
    </row>
    <row r="10" spans="1:9">
      <c r="A10" s="33"/>
      <c r="B10" s="34"/>
      <c r="E10" s="35"/>
    </row>
    <row r="11" spans="1:9">
      <c r="A11" s="33"/>
      <c r="B11" s="34"/>
      <c r="E11" s="35"/>
    </row>
    <row r="12" spans="1:9">
      <c r="A12" s="33"/>
      <c r="B12" s="34"/>
      <c r="C12" s="34"/>
      <c r="D12" s="34"/>
      <c r="E12" s="35"/>
    </row>
    <row r="13" spans="1:9">
      <c r="A13" s="33"/>
      <c r="B13" s="34"/>
      <c r="C13" s="34"/>
      <c r="D13" s="34"/>
      <c r="E13" s="35"/>
    </row>
    <row r="14" spans="1:9">
      <c r="A14" s="33"/>
      <c r="B14" s="34"/>
      <c r="C14" s="34"/>
      <c r="D14" s="34"/>
      <c r="E14" s="35"/>
    </row>
    <row r="15" spans="1:9">
      <c r="A15" s="54" t="s">
        <v>30</v>
      </c>
      <c r="B15" s="36"/>
      <c r="C15" s="36"/>
      <c r="D15" s="52"/>
      <c r="E15" s="53" t="s">
        <v>29</v>
      </c>
    </row>
    <row r="16" spans="1:9" ht="13">
      <c r="A16" s="50"/>
      <c r="B16" s="34"/>
      <c r="C16" s="34"/>
      <c r="D16" s="34"/>
      <c r="E16" s="51"/>
    </row>
    <row r="18" spans="1:5">
      <c r="A18" s="31"/>
      <c r="B18" s="31"/>
      <c r="C18" s="31"/>
      <c r="D18" s="31"/>
      <c r="E18" s="31"/>
    </row>
    <row r="19" spans="1:5">
      <c r="A19" s="31"/>
      <c r="B19" s="31"/>
      <c r="C19" s="31"/>
      <c r="D19" s="31"/>
      <c r="E19" s="31"/>
    </row>
    <row r="20" spans="1:5">
      <c r="A20" s="31"/>
      <c r="B20" s="31"/>
      <c r="C20" s="31"/>
      <c r="D20" s="31"/>
      <c r="E20" s="31"/>
    </row>
    <row r="21" spans="1:5">
      <c r="A21" s="31"/>
      <c r="B21" s="31"/>
      <c r="C21" s="31"/>
      <c r="D21" s="31"/>
      <c r="E21" s="31"/>
    </row>
    <row r="22" spans="1:5">
      <c r="A22" s="31"/>
      <c r="B22" s="31"/>
      <c r="C22" s="31"/>
      <c r="D22" s="31"/>
      <c r="E22" s="31"/>
    </row>
    <row r="23" spans="1:5">
      <c r="A23" s="31"/>
      <c r="B23" s="31"/>
      <c r="C23" s="31"/>
      <c r="D23" s="31"/>
      <c r="E23" s="31"/>
    </row>
    <row r="24" spans="1:5">
      <c r="A24" s="31"/>
      <c r="B24" s="31"/>
      <c r="C24" s="31"/>
      <c r="D24" s="31"/>
      <c r="E24" s="31"/>
    </row>
    <row r="25" spans="1:5">
      <c r="A25" s="31"/>
      <c r="B25" s="31"/>
      <c r="C25" s="31"/>
      <c r="D25" s="31"/>
      <c r="E25" s="31"/>
    </row>
    <row r="26" spans="1:5">
      <c r="A26" s="31"/>
      <c r="B26" s="31"/>
      <c r="C26" s="31"/>
      <c r="D26" s="31"/>
      <c r="E26" s="31"/>
    </row>
    <row r="27" spans="1:5">
      <c r="A27" s="31"/>
      <c r="B27" s="31"/>
      <c r="C27" s="31"/>
      <c r="D27" s="31"/>
      <c r="E27" s="31"/>
    </row>
    <row r="28" spans="1:5">
      <c r="A28" s="31"/>
      <c r="B28" s="31"/>
      <c r="C28" s="31"/>
      <c r="D28" s="31"/>
      <c r="E28" s="31"/>
    </row>
    <row r="29" spans="1:5">
      <c r="A29" s="31"/>
      <c r="B29" s="31"/>
      <c r="C29" s="31"/>
      <c r="D29" s="31"/>
      <c r="E29" s="31"/>
    </row>
    <row r="30" spans="1:5">
      <c r="A30" s="31"/>
      <c r="B30" s="31"/>
      <c r="C30" s="31"/>
      <c r="D30" s="31"/>
      <c r="E30" s="31"/>
    </row>
    <row r="31" spans="1:5">
      <c r="A31" s="31"/>
      <c r="B31" s="31"/>
      <c r="C31" s="31"/>
      <c r="D31" s="31"/>
      <c r="E31" s="31"/>
    </row>
    <row r="32" spans="1:5">
      <c r="A32" s="31"/>
      <c r="B32" s="31"/>
      <c r="C32" s="31"/>
      <c r="D32" s="31"/>
      <c r="E32" s="31"/>
    </row>
    <row r="33" spans="1:5">
      <c r="A33" s="31"/>
      <c r="B33" s="31"/>
      <c r="C33" s="31"/>
      <c r="D33" s="31"/>
      <c r="E33" s="31"/>
    </row>
    <row r="34" spans="1:5">
      <c r="A34" s="31"/>
      <c r="B34" s="31"/>
      <c r="C34" s="31"/>
      <c r="D34" s="31"/>
      <c r="E34" s="31"/>
    </row>
    <row r="35" spans="1:5">
      <c r="A35" s="31"/>
      <c r="B35" s="31"/>
      <c r="C35" s="31"/>
      <c r="D35" s="31"/>
      <c r="E35" s="31"/>
    </row>
    <row r="36" spans="1:5">
      <c r="A36" s="31"/>
      <c r="B36" s="31"/>
      <c r="C36" s="31"/>
      <c r="D36" s="31"/>
      <c r="E36" s="31"/>
    </row>
    <row r="37" spans="1:5">
      <c r="A37" s="31"/>
      <c r="B37" s="31"/>
      <c r="C37" s="31"/>
      <c r="D37" s="31"/>
      <c r="E37" s="31"/>
    </row>
    <row r="38" spans="1:5">
      <c r="A38" s="31"/>
      <c r="B38" s="31"/>
      <c r="C38" s="31"/>
      <c r="D38" s="31"/>
      <c r="E38" s="31"/>
    </row>
    <row r="39" spans="1:5">
      <c r="A39" s="31"/>
      <c r="B39" s="31"/>
      <c r="C39" s="31"/>
      <c r="D39" s="31"/>
      <c r="E39" s="31"/>
    </row>
    <row r="40" spans="1:5">
      <c r="A40" s="31"/>
      <c r="B40" s="31"/>
      <c r="C40" s="31"/>
      <c r="D40" s="31"/>
      <c r="E40" s="31"/>
    </row>
    <row r="41" spans="1:5">
      <c r="A41" s="31"/>
      <c r="B41" s="31"/>
      <c r="C41" s="31"/>
      <c r="D41" s="31"/>
      <c r="E41" s="31"/>
    </row>
    <row r="42" spans="1:5">
      <c r="A42" s="31"/>
      <c r="B42" s="31"/>
      <c r="C42" s="31"/>
      <c r="D42" s="31"/>
      <c r="E42" s="31"/>
    </row>
    <row r="43" spans="1:5">
      <c r="A43" s="31"/>
      <c r="B43" s="31"/>
      <c r="C43" s="31"/>
      <c r="D43" s="31"/>
      <c r="E43" s="31"/>
    </row>
    <row r="44" spans="1:5">
      <c r="A44" s="31"/>
      <c r="B44" s="31"/>
      <c r="C44" s="31"/>
      <c r="D44" s="31"/>
      <c r="E44" s="31"/>
    </row>
    <row r="45" spans="1:5">
      <c r="A45" s="31"/>
      <c r="B45" s="31"/>
      <c r="C45" s="31"/>
      <c r="D45" s="31"/>
      <c r="E45" s="31"/>
    </row>
    <row r="46" spans="1:5">
      <c r="A46" s="31"/>
      <c r="B46" s="31"/>
      <c r="C46" s="31"/>
      <c r="D46" s="31"/>
      <c r="E46" s="31"/>
    </row>
    <row r="47" spans="1:5">
      <c r="A47" s="31"/>
      <c r="B47" s="31"/>
      <c r="C47" s="31"/>
      <c r="D47" s="31"/>
      <c r="E47" s="31"/>
    </row>
    <row r="48" spans="1:5">
      <c r="A48" s="31"/>
      <c r="B48" s="31"/>
      <c r="C48" s="31"/>
      <c r="D48" s="31"/>
      <c r="E48" s="31"/>
    </row>
    <row r="49" spans="1:5">
      <c r="A49" s="31"/>
      <c r="B49" s="31"/>
      <c r="C49" s="31"/>
      <c r="D49" s="31"/>
      <c r="E49" s="31"/>
    </row>
    <row r="50" spans="1:5">
      <c r="A50" s="31"/>
      <c r="B50" s="31"/>
      <c r="C50" s="31"/>
      <c r="D50" s="31"/>
      <c r="E50" s="31"/>
    </row>
    <row r="51" spans="1:5">
      <c r="A51" s="31"/>
      <c r="B51" s="31"/>
      <c r="C51" s="31"/>
      <c r="D51" s="31"/>
      <c r="E51" s="31"/>
    </row>
    <row r="52" spans="1:5">
      <c r="A52" s="31"/>
      <c r="B52" s="31"/>
      <c r="C52" s="31"/>
      <c r="D52" s="31"/>
      <c r="E52" s="31"/>
    </row>
    <row r="53" spans="1:5">
      <c r="A53" s="31"/>
      <c r="B53" s="31"/>
      <c r="C53" s="31"/>
      <c r="D53" s="31"/>
      <c r="E53" s="31"/>
    </row>
    <row r="54" spans="1:5">
      <c r="A54" s="31"/>
      <c r="B54" s="31"/>
      <c r="C54" s="31"/>
      <c r="D54" s="31"/>
      <c r="E54" s="31"/>
    </row>
  </sheetData>
  <mergeCells count="1">
    <mergeCell ref="A1:E1"/>
  </mergeCells>
  <pageMargins left="0.7" right="0.7" top="0.75" bottom="0.75" header="0.3" footer="0.3"/>
  <pageSetup orientation="portrait" r:id="rId1"/>
  <headerFooter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6"/>
  <sheetViews>
    <sheetView workbookViewId="0">
      <selection activeCell="F21" sqref="F21"/>
    </sheetView>
  </sheetViews>
  <sheetFormatPr defaultColWidth="8.81640625" defaultRowHeight="12.5"/>
  <cols>
    <col min="1" max="1" width="26.7265625" customWidth="1"/>
    <col min="2" max="2" width="16.7265625" customWidth="1"/>
    <col min="5" max="5" width="12.54296875" customWidth="1"/>
    <col min="6" max="6" width="16.1796875" customWidth="1"/>
    <col min="7" max="7" width="13.54296875" customWidth="1"/>
    <col min="8" max="8" width="24.6328125" customWidth="1"/>
    <col min="9" max="9" width="15.81640625" customWidth="1"/>
    <col min="10" max="10" width="21" customWidth="1"/>
    <col min="11" max="11" width="25.453125" customWidth="1"/>
    <col min="12" max="12" width="11.26953125" customWidth="1"/>
  </cols>
  <sheetData>
    <row r="1" spans="1:12">
      <c r="A1" s="30" t="s">
        <v>14</v>
      </c>
      <c r="B1" t="e">
        <f>IF(AND(#REF!="Yes"),1,0)</f>
        <v>#REF!</v>
      </c>
      <c r="E1" s="156" t="s">
        <v>43</v>
      </c>
      <c r="F1" s="156"/>
      <c r="G1" s="156"/>
      <c r="H1" s="156"/>
      <c r="I1" s="156"/>
      <c r="J1" s="156"/>
      <c r="K1" s="156"/>
      <c r="L1" s="156"/>
    </row>
    <row r="2" spans="1:12">
      <c r="A2" s="30" t="s">
        <v>15</v>
      </c>
      <c r="B2" t="e">
        <f>IF(AND(StepFour,#REF!="No"),1,0)</f>
        <v>#REF!</v>
      </c>
      <c r="E2" s="30"/>
      <c r="F2" s="30" t="s">
        <v>44</v>
      </c>
      <c r="G2" s="30" t="s">
        <v>45</v>
      </c>
      <c r="H2" s="30" t="s">
        <v>46</v>
      </c>
      <c r="I2" s="30" t="s">
        <v>47</v>
      </c>
      <c r="J2" s="30" t="s">
        <v>48</v>
      </c>
      <c r="K2" s="30" t="s">
        <v>49</v>
      </c>
      <c r="L2" s="30" t="s">
        <v>22</v>
      </c>
    </row>
    <row r="3" spans="1:12">
      <c r="A3" s="30" t="s">
        <v>16</v>
      </c>
      <c r="B3" t="e">
        <f>IF(OR(#REF!="no",StepFive),1,0)</f>
        <v>#REF!</v>
      </c>
      <c r="D3">
        <v>1</v>
      </c>
      <c r="F3" t="e">
        <f>GFORB</f>
        <v>#REF!</v>
      </c>
      <c r="G3">
        <f>GTM</f>
        <v>0</v>
      </c>
      <c r="H3" t="e">
        <f>GSAPC</f>
        <v>#REF!</v>
      </c>
      <c r="I3" t="e">
        <f>GSAHM</f>
        <v>#REF!</v>
      </c>
      <c r="J3" t="e">
        <f>B12</f>
        <v>#REF!</v>
      </c>
      <c r="K3" t="e">
        <f>B13</f>
        <v>#REF!</v>
      </c>
      <c r="L3" t="e">
        <f>NoMod</f>
        <v>#REF!</v>
      </c>
    </row>
    <row r="4" spans="1:12">
      <c r="A4" s="30" t="s">
        <v>40</v>
      </c>
      <c r="B4" t="e">
        <f>IF(AND(StepSix,NOT(GSAPC)),1,0)</f>
        <v>#REF!</v>
      </c>
      <c r="D4">
        <v>2</v>
      </c>
      <c r="E4" s="30" t="s">
        <v>50</v>
      </c>
      <c r="F4" s="30" t="s">
        <v>51</v>
      </c>
      <c r="G4" s="30" t="s">
        <v>60</v>
      </c>
      <c r="H4" s="30" t="s">
        <v>52</v>
      </c>
      <c r="I4" s="30" t="s">
        <v>53</v>
      </c>
      <c r="J4" s="30" t="s">
        <v>54</v>
      </c>
      <c r="K4" t="str">
        <f>J4</f>
        <v>FHA-HAMP Modification with Partial Claim</v>
      </c>
      <c r="L4" s="30" t="s">
        <v>55</v>
      </c>
    </row>
    <row r="5" spans="1:12">
      <c r="A5" s="30" t="s">
        <v>41</v>
      </c>
      <c r="B5" t="e">
        <f>IF(AND(DSAHM,NOT(GSAHM)),1,0)</f>
        <v>#REF!</v>
      </c>
      <c r="D5">
        <v>3</v>
      </c>
      <c r="E5" s="30" t="s">
        <v>0</v>
      </c>
      <c r="G5" s="28" t="e">
        <f>#REF!</f>
        <v>#REF!</v>
      </c>
      <c r="H5" s="28">
        <f>Inputs!E18</f>
        <v>2185.3199999999997</v>
      </c>
      <c r="I5" s="28" t="e">
        <f>#REF!</f>
        <v>#REF!</v>
      </c>
      <c r="J5" s="27" t="e">
        <f>Target</f>
        <v>#REF!</v>
      </c>
      <c r="K5" s="28" t="e">
        <f>#REF!</f>
        <v>#REF!</v>
      </c>
      <c r="L5" s="28" t="e">
        <f>2.5*#REF!</f>
        <v>#REF!</v>
      </c>
    </row>
    <row r="6" spans="1:12">
      <c r="A6" s="30" t="s">
        <v>42</v>
      </c>
      <c r="B6" t="e">
        <f>IF(AND(DMPC,NOT(B12)),1,0)</f>
        <v>#REF!</v>
      </c>
      <c r="D6">
        <v>4</v>
      </c>
      <c r="E6" s="30" t="s">
        <v>56</v>
      </c>
      <c r="G6" s="28" t="e">
        <f>G5-TIA</f>
        <v>#REF!</v>
      </c>
      <c r="H6" s="28">
        <f>H5-TIA</f>
        <v>1382.85</v>
      </c>
      <c r="I6" s="28" t="e">
        <f>I5-TIA</f>
        <v>#REF!</v>
      </c>
      <c r="J6" s="28" t="e">
        <f>J5-TIA</f>
        <v>#REF!</v>
      </c>
      <c r="K6" s="28" t="e">
        <f>K5-TIA</f>
        <v>#REF!</v>
      </c>
    </row>
    <row r="7" spans="1:12">
      <c r="A7" s="30"/>
      <c r="D7">
        <v>5</v>
      </c>
      <c r="E7" s="30" t="s">
        <v>57</v>
      </c>
      <c r="G7" s="27">
        <f>CAPUPB</f>
        <v>647464.02</v>
      </c>
      <c r="H7" s="72">
        <f ca="1">CAPUPB-H8</f>
        <v>599386.98</v>
      </c>
      <c r="I7" s="27">
        <f>CAPUPB</f>
        <v>647464.02</v>
      </c>
      <c r="J7" s="28" t="e">
        <f>CAPUPB-#REF!</f>
        <v>#REF!</v>
      </c>
      <c r="K7" s="28" t="e">
        <f>CAPUPB-#REF!</f>
        <v>#REF!</v>
      </c>
    </row>
    <row r="8" spans="1:12">
      <c r="A8" s="30" t="s">
        <v>20</v>
      </c>
      <c r="B8" t="e">
        <f>IF(AND(StepFour,#REF!="Yes"),1,0)</f>
        <v>#REF!</v>
      </c>
      <c r="D8">
        <v>6</v>
      </c>
      <c r="E8" s="30" t="s">
        <v>21</v>
      </c>
      <c r="G8">
        <v>0</v>
      </c>
      <c r="H8" s="47">
        <f ca="1">Inputs!E26*Inputs!E18</f>
        <v>48077.039999999994</v>
      </c>
      <c r="I8">
        <v>0</v>
      </c>
      <c r="J8" s="28" t="e">
        <f>CAPUPB-J7</f>
        <v>#REF!</v>
      </c>
      <c r="K8" s="28" t="e">
        <f>CAPUPB-K7</f>
        <v>#REF!</v>
      </c>
    </row>
    <row r="9" spans="1:12">
      <c r="A9" s="30" t="s">
        <v>28</v>
      </c>
      <c r="B9">
        <f>0</f>
        <v>0</v>
      </c>
      <c r="D9">
        <v>7</v>
      </c>
      <c r="E9" s="30" t="s">
        <v>58</v>
      </c>
      <c r="G9">
        <f>Market</f>
        <v>3.2500000000000001E-2</v>
      </c>
      <c r="H9">
        <f>rate</f>
        <v>4.2500000000000003E-2</v>
      </c>
      <c r="I9">
        <f>Market</f>
        <v>3.2500000000000001E-2</v>
      </c>
      <c r="J9">
        <f>Market</f>
        <v>3.2500000000000001E-2</v>
      </c>
      <c r="K9">
        <f>Market</f>
        <v>3.2500000000000001E-2</v>
      </c>
    </row>
    <row r="10" spans="1:12">
      <c r="A10" s="30" t="s">
        <v>18</v>
      </c>
      <c r="B10" t="e">
        <f>IF(AND(StepSix,#REF!="Yes"),1,0)</f>
        <v>#REF!</v>
      </c>
      <c r="D10">
        <v>8</v>
      </c>
      <c r="E10" s="30" t="s">
        <v>59</v>
      </c>
      <c r="G10">
        <v>360</v>
      </c>
      <c r="H10">
        <f ca="1">LOANTERM-ROUNDUP(DAYS360(FPAY,TODAY)/30,0)</f>
        <v>269</v>
      </c>
      <c r="I10">
        <v>360</v>
      </c>
      <c r="J10">
        <v>360</v>
      </c>
      <c r="K10">
        <v>360</v>
      </c>
    </row>
    <row r="11" spans="1:12">
      <c r="A11" s="30" t="s">
        <v>39</v>
      </c>
      <c r="B11" t="e">
        <f>IF(AND(B4,#REF!="Yes"),1,0)</f>
        <v>#REF!</v>
      </c>
    </row>
    <row r="12" spans="1:12">
      <c r="A12" s="30" t="s">
        <v>17</v>
      </c>
      <c r="B12" t="e">
        <f>IF(AND(DMPC,#REF!="Yes"),1,0)</f>
        <v>#REF!</v>
      </c>
    </row>
    <row r="13" spans="1:12">
      <c r="A13" s="30" t="s">
        <v>19</v>
      </c>
      <c r="B13" t="e">
        <f>IF(AND(DMWIP,#REF!="Yes"),1,0)</f>
        <v>#REF!</v>
      </c>
    </row>
    <row r="14" spans="1:12">
      <c r="A14" s="30" t="s">
        <v>22</v>
      </c>
      <c r="B14" t="e">
        <f>IF(SUM(B8:B13)=0,1,0)</f>
        <v>#REF!</v>
      </c>
    </row>
    <row r="15" spans="1:12">
      <c r="A15" s="30"/>
    </row>
    <row r="17" spans="1:10">
      <c r="A17" s="30" t="s">
        <v>37</v>
      </c>
      <c r="B17">
        <f>IF(Payoff="Only Default Date",1,IF(Payoff="UPB at Default",2,IF(Payoff="Capitalized UPB",3)))</f>
        <v>3</v>
      </c>
      <c r="H17" s="27">
        <f>IF(Outcome!F6="Yes",Outcome!F7,Outcome!F8)</f>
        <v>126924.07</v>
      </c>
    </row>
    <row r="19" spans="1:10">
      <c r="E19" s="30" t="s">
        <v>116</v>
      </c>
      <c r="F19">
        <f>IF(Outcome!F32&gt;0.4*GMI,1,0)</f>
        <v>1</v>
      </c>
      <c r="H19" s="30" t="s">
        <v>120</v>
      </c>
      <c r="J19" t="b">
        <f>Inputs!E17&lt;=Outcome!K18</f>
        <v>1</v>
      </c>
    </row>
    <row r="20" spans="1:10">
      <c r="A20" s="30" t="s">
        <v>71</v>
      </c>
      <c r="B20" s="81">
        <f>DUPB+Inputs!E34</f>
        <v>647464.02</v>
      </c>
      <c r="E20" s="30" t="s">
        <v>111</v>
      </c>
      <c r="F20" s="28">
        <f>0.35*GMI-SUM(ESCROW)</f>
        <v>772.53</v>
      </c>
      <c r="H20" s="30" t="s">
        <v>121</v>
      </c>
      <c r="J20" t="b">
        <f>Inputs!E18&lt;=0.4*GMI</f>
        <v>0</v>
      </c>
    </row>
    <row r="21" spans="1:10">
      <c r="E21" s="30" t="s">
        <v>112</v>
      </c>
      <c r="F21" s="47">
        <f>PV(Market/12,360,-F20)</f>
        <v>177508.91155408989</v>
      </c>
      <c r="H21" s="30" t="s">
        <v>122</v>
      </c>
      <c r="J21" t="b">
        <f ca="1">Outcome!F8&gt;Outcome!F9</f>
        <v>0</v>
      </c>
    </row>
    <row r="22" spans="1:10">
      <c r="E22" s="30" t="s">
        <v>113</v>
      </c>
      <c r="F22" s="28">
        <f ca="1">IF(AND(J19:J21),J24,ROUNDUP(Outcome!F28-MIN(F21,Outcome!F28),2))</f>
        <v>332273.33</v>
      </c>
      <c r="H22" s="30" t="s">
        <v>127</v>
      </c>
      <c r="J22" t="b">
        <f ca="1">(HAF+Outcome!F9)&gt;=Outcome!F8</f>
        <v>1</v>
      </c>
    </row>
    <row r="24" spans="1:10">
      <c r="H24" s="30" t="s">
        <v>123</v>
      </c>
      <c r="J24" s="28">
        <f ca="1">ROUNDUP(Outcome!F8-Outcome!F9,2)</f>
        <v>-89521.049999999988</v>
      </c>
    </row>
    <row r="26" spans="1:10">
      <c r="H26" s="30" t="s">
        <v>128</v>
      </c>
      <c r="J26" t="b">
        <f ca="1">AND(J19:J22)</f>
        <v>0</v>
      </c>
    </row>
  </sheetData>
  <mergeCells count="1">
    <mergeCell ref="E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1_ xmlns="499f3542-0688-476c-b09c-0c039bfdd880" xsi:nil="true"/>
    <Text xmlns="499f3542-0688-476c-b09c-0c039bfdd880" xsi:nil="true"/>
    <Date xmlns="499f3542-0688-476c-b09c-0c039bfdd8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615635221324388FC5E6FF9FDFEDF" ma:contentTypeVersion="16" ma:contentTypeDescription="Create a new document." ma:contentTypeScope="" ma:versionID="b6e7607d721af44490d50d9cd3f5cb9d">
  <xsd:schema xmlns:xsd="http://www.w3.org/2001/XMLSchema" xmlns:xs="http://www.w3.org/2001/XMLSchema" xmlns:p="http://schemas.microsoft.com/office/2006/metadata/properties" xmlns:ns2="499f3542-0688-476c-b09c-0c039bfdd880" xmlns:ns3="d4b49695-86d2-4524-9ca1-043c44a2ad66" targetNamespace="http://schemas.microsoft.com/office/2006/metadata/properties" ma:root="true" ma:fieldsID="058fea76a43a2c2c67b241f18533c3dd" ns2:_="" ns3:_="">
    <xsd:import namespace="499f3542-0688-476c-b09c-0c039bfdd880"/>
    <xsd:import namespace="d4b49695-86d2-4524-9ca1-043c44a2a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Date_x0021_" minOccurs="0"/>
                <xsd:element ref="ns2:Text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3542-0688-476c-b09c-0c039bfdd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Date_x0021_" ma:index="20" nillable="true" ma:displayName="Date!" ma:format="DateOnly" ma:internalName="Date_x0021_">
      <xsd:simpleType>
        <xsd:restriction base="dms:DateTime"/>
      </xsd:simpleType>
    </xsd:element>
    <xsd:element name="Text" ma:index="21" nillable="true" ma:displayName="Text" ma:format="Dropdown" ma:internalName="Text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49695-86d2-4524-9ca1-043c44a2a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459DB-4B7C-4E0D-BB99-12CC2525A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BD9EC4-6591-4662-8DDC-BD6C3ADC61D1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99f3542-0688-476c-b09c-0c039bfdd880"/>
    <ds:schemaRef ds:uri="http://www.w3.org/XML/1998/namespace"/>
    <ds:schemaRef ds:uri="d4b49695-86d2-4524-9ca1-043c44a2ad66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D57309-029F-40F9-9054-8DEB6544E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3542-0688-476c-b09c-0c039bfdd880"/>
    <ds:schemaRef ds:uri="d4b49695-86d2-4524-9ca1-043c44a2a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Inputs</vt:lpstr>
      <vt:lpstr>Outcome</vt:lpstr>
      <vt:lpstr>MIP Calculator</vt:lpstr>
      <vt:lpstr>Workout Result</vt:lpstr>
      <vt:lpstr>Data Validation</vt:lpstr>
      <vt:lpstr>CAPUPB</vt:lpstr>
      <vt:lpstr>DDate</vt:lpstr>
      <vt:lpstr>DMPC</vt:lpstr>
      <vt:lpstr>DMWIP</vt:lpstr>
      <vt:lpstr>DSAHM</vt:lpstr>
      <vt:lpstr>DUPB</vt:lpstr>
      <vt:lpstr>ESCROW</vt:lpstr>
      <vt:lpstr>FPAY</vt:lpstr>
      <vt:lpstr>GFORB</vt:lpstr>
      <vt:lpstr>GMI</vt:lpstr>
      <vt:lpstr>GSAHM</vt:lpstr>
      <vt:lpstr>GSAPC</vt:lpstr>
      <vt:lpstr>GTM</vt:lpstr>
      <vt:lpstr>HAF</vt:lpstr>
      <vt:lpstr>infotype</vt:lpstr>
      <vt:lpstr>LOANTERM</vt:lpstr>
      <vt:lpstr>Market</vt:lpstr>
      <vt:lpstr>MIP</vt:lpstr>
      <vt:lpstr>MIPMATRIX</vt:lpstr>
      <vt:lpstr>MIPRATE</vt:lpstr>
      <vt:lpstr>NoMod</vt:lpstr>
      <vt:lpstr>OPRINC</vt:lpstr>
      <vt:lpstr>OutcomeMatrix</vt:lpstr>
      <vt:lpstr>Payoff</vt:lpstr>
      <vt:lpstr>rate</vt:lpstr>
      <vt:lpstr>Reinstate</vt:lpstr>
      <vt:lpstr>StepFive</vt:lpstr>
      <vt:lpstr>StepFour</vt:lpstr>
      <vt:lpstr>StepSix</vt:lpstr>
      <vt:lpstr>Inputs!TERM</vt:lpstr>
      <vt:lpstr>TIA</vt:lpstr>
      <vt:lpstr>TODAY</vt:lpstr>
      <vt:lpstr>UFMIPRATE</vt:lpstr>
      <vt:lpstr>UPB</vt:lpstr>
    </vt:vector>
  </TitlesOfParts>
  <Company>Eastside Community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MFY Legal Services, Inc.</dc:creator>
  <cp:lastModifiedBy>Joseph Rebella</cp:lastModifiedBy>
  <cp:lastPrinted>2017-03-23T16:05:56Z</cp:lastPrinted>
  <dcterms:created xsi:type="dcterms:W3CDTF">2010-03-17T18:01:29Z</dcterms:created>
  <dcterms:modified xsi:type="dcterms:W3CDTF">2022-01-10T21:55:43Z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0x010100CDB615635221324388FC5E6FF9FDFEDF</vt:lpwstr>
  </property>
  <property fmtid="{D5CDD505-2E9C-101B-9397-08002B2CF9AE}" pid="3" name="Order">
    <vt:r8>64791800</vt:r8>
  </property>
</Properties>
</file>