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fylegal.sharepoint.com/sites/SDrive-Shared/Shared Documents/General/Staff Folders/Joseph/HAF Calculators/"/>
    </mc:Choice>
  </mc:AlternateContent>
  <xr:revisionPtr revIDLastSave="107" documentId="8_{01C5AE0D-C9A4-4C64-A361-24F966ECE0CC}" xr6:coauthVersionLast="47" xr6:coauthVersionMax="47" xr10:uidLastSave="{047A861E-C8D3-47A5-AC2D-08536AA55065}"/>
  <bookViews>
    <workbookView xWindow="57480" yWindow="-120" windowWidth="29040" windowHeight="15840" xr2:uid="{00000000-000D-0000-FFFF-FFFF00000000}"/>
  </bookViews>
  <sheets>
    <sheet name="Inputs" sheetId="8" r:id="rId1"/>
    <sheet name="Flex (HAF)" sheetId="19" state="hidden" r:id="rId2"/>
    <sheet name="Flex" sheetId="14" state="hidden" r:id="rId3"/>
    <sheet name="COVID Flex" sheetId="4" state="hidden" r:id="rId4"/>
    <sheet name="COVID Flex (HAF)" sheetId="20" state="hidden" r:id="rId5"/>
    <sheet name="Result Calculations" sheetId="15" state="hidden" r:id="rId6"/>
    <sheet name="Outcome" sheetId="18" r:id="rId7"/>
    <sheet name="Sheet2" sheetId="17" state="hidden" r:id="rId8"/>
    <sheet name="Sheet1" sheetId="16" state="hidden" r:id="rId9"/>
    <sheet name="Standard" sheetId="13" state="hidden" r:id="rId10"/>
    <sheet name="Calculations" sheetId="12" state="hidden" r:id="rId11"/>
  </sheets>
  <externalReferences>
    <externalReference r:id="rId12"/>
    <externalReference r:id="rId13"/>
  </externalReferences>
  <definedNames>
    <definedName name="AffNeg">#REF!</definedName>
    <definedName name="Am2nd">#REF!</definedName>
    <definedName name="amstep">#REF!</definedName>
    <definedName name="AmSteps">#REF!</definedName>
    <definedName name="CMTMLTV">Calculations!$B$4</definedName>
    <definedName name="Current">Calculations!$A$6:$C$7</definedName>
    <definedName name="DOCOVIDFLEX">Calculations!$D$13</definedName>
    <definedName name="DOFLEX">Calculations!$D$35</definedName>
    <definedName name="DTI">Standard!$P$28</definedName>
    <definedName name="DTI_Range">#REF!</definedName>
    <definedName name="fpdate">#REF!</definedName>
    <definedName name="GMI">Inputs!$F$39</definedName>
    <definedName name="HAF">Outcome!$K$8</definedName>
    <definedName name="HAFCHART">Calculations!$D$13:$E$32</definedName>
    <definedName name="HAFMOD">Calculations!$H$16</definedName>
    <definedName name="infotype">Calculations!$B$2</definedName>
    <definedName name="infotype2">#REF!</definedName>
    <definedName name="IntOnly2nd">#REF!</definedName>
    <definedName name="LoanType">#REF!</definedName>
    <definedName name="MaxDTI" localSheetId="4">'COVID Flex (HAF)'!$N$28</definedName>
    <definedName name="MaxDTI" localSheetId="2">Flex!$N$29</definedName>
    <definedName name="MaxDTI" localSheetId="1">'Flex (HAF)'!$N$29</definedName>
    <definedName name="MaxDTI" localSheetId="9">Standard!#REF!</definedName>
    <definedName name="MaxDTI">'COVID Flex'!$N$28</definedName>
    <definedName name="MinDTI" localSheetId="4">'COVID Flex (HAF)'!$L$28</definedName>
    <definedName name="MinDTI" localSheetId="2">Flex!$L$29</definedName>
    <definedName name="MinDTI" localSheetId="1">'Flex (HAF)'!$L$29</definedName>
    <definedName name="MinDTI" localSheetId="9">Standard!#REF!</definedName>
    <definedName name="MinDTI">'COVID Flex'!$L$28</definedName>
    <definedName name="MOD">Calculations!$H$15</definedName>
    <definedName name="Mods">#REF!</definedName>
    <definedName name="MTMLTV">Calculations!$B$3</definedName>
    <definedName name="NOHAFCHART">Calculations!$D$35:$E$54</definedName>
    <definedName name="NonAM">#REF!</definedName>
    <definedName name="nonamsteps">#REF!</definedName>
    <definedName name="nper" localSheetId="0">Inputs!term*12</definedName>
    <definedName name="nper" localSheetId="9">term*12</definedName>
    <definedName name="nper">term*12</definedName>
    <definedName name="numsteps">#REF!</definedName>
    <definedName name="Numsteps2">#REF!</definedName>
    <definedName name="Owner">Calculations!$B$1</definedName>
    <definedName name="PAF">'Result Calculations'!$C$28</definedName>
    <definedName name="Payoff">Inputs!$N$23</definedName>
    <definedName name="Payoff2">#REF!</definedName>
    <definedName name="PIFAIL">#REF!</definedName>
    <definedName name="PIREDUCTION" localSheetId="4">'COVID Flex (HAF)'!$P$35</definedName>
    <definedName name="PIREDUCTION" localSheetId="2">Flex!$P$36</definedName>
    <definedName name="PIREDUCTION" localSheetId="1">'Flex (HAF)'!$P$36</definedName>
    <definedName name="PIREDUCTION" localSheetId="9">Standard!$P$33</definedName>
    <definedName name="PIREDUCTION">'COVID Flex'!$P$35</definedName>
    <definedName name="PMMS">#REF!</definedName>
    <definedName name="PMUPB">#REF!</definedName>
    <definedName name="rangeunknown">#REF!</definedName>
    <definedName name="RateTable">Calculations!$D$2:$G$4</definedName>
    <definedName name="RateType">Inputs!$N$12</definedName>
    <definedName name="Rental">Inputs!#REF!</definedName>
    <definedName name="Seconds" localSheetId="9">'[1]Data Validation'!$I$15:$L$32</definedName>
    <definedName name="Seconds">#REF!</definedName>
    <definedName name="SecondServicer" localSheetId="9">'[1]2MP'!$E$17</definedName>
    <definedName name="SecondServicer">#REF!</definedName>
    <definedName name="Servicer" localSheetId="9">[1]Inputs!$N$6</definedName>
    <definedName name="Servicer">Inputs!#REF!</definedName>
    <definedName name="Servicer_2MP">#REF!</definedName>
    <definedName name="Servicer_List">#REF!</definedName>
    <definedName name="sline">#REF!</definedName>
    <definedName name="small">#REF!</definedName>
    <definedName name="T2DEBT">Inputs!#REF!</definedName>
    <definedName name="T2PITIA" localSheetId="4">'COVID Flex (HAF)'!#REF!</definedName>
    <definedName name="T2PITIA" localSheetId="2">Flex!#REF!</definedName>
    <definedName name="T2PITIA" localSheetId="1">'Flex (HAF)'!#REF!</definedName>
    <definedName name="T2PITIA" localSheetId="9">Standard!$P$25</definedName>
    <definedName name="T2PITIA">'COVID Flex'!#REF!</definedName>
    <definedName name="term" localSheetId="0">[2]Inputs!$D$7</definedName>
    <definedName name="term">#REF!</definedName>
    <definedName name="Tier2_Outcome">#REF!</definedName>
    <definedName name="TierOne">#REF!</definedName>
    <definedName name="TierTwo" localSheetId="4">'COVID Flex (HAF)'!$P$39</definedName>
    <definedName name="TierTwo" localSheetId="2">Flex!$P$40</definedName>
    <definedName name="TierTwo" localSheetId="1">'Flex (HAF)'!$P$40</definedName>
    <definedName name="TierTwo" localSheetId="9">Standard!$P$35</definedName>
    <definedName name="TierTwo">'COVID Flex'!$P$39</definedName>
    <definedName name="TODAY">Inputs!$N$27</definedName>
    <definedName name="TYPE">Inputs!$N$5</definedName>
    <definedName name="UPB" localSheetId="4">'COVID Flex (HAF)'!$E$28</definedName>
    <definedName name="UPB" localSheetId="2">Flex!$E$28</definedName>
    <definedName name="UPB" localSheetId="1">'Flex (HAF)'!$E$28</definedName>
    <definedName name="UPB">'COVID Flex'!$E$28</definedName>
    <definedName name="Value">Inputs!$N$7</definedName>
  </definedNames>
  <calcPr calcId="191028"/>
  <customWorkbookViews>
    <customWorkbookView name="Custom" guid="{0367687A-2E80-4414-9E57-D64905950517}" includePrintSettings="0" includeHiddenRowCol="0" maximized="1" xWindow="1" yWindow="1" windowWidth="1676" windowHeight="829" activeSheetId="1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8" l="1"/>
  <c r="E13" i="19"/>
  <c r="E13" i="14" s="1"/>
  <c r="E13" i="20" l="1"/>
  <c r="E13" i="4"/>
  <c r="K13" i="8"/>
  <c r="E35" i="19"/>
  <c r="E9" i="18"/>
  <c r="K15" i="18" s="1"/>
  <c r="E10" i="18"/>
  <c r="K16" i="18" s="1"/>
  <c r="E50" i="12"/>
  <c r="D50" i="12"/>
  <c r="E28" i="12"/>
  <c r="D28" i="12"/>
  <c r="E27" i="14"/>
  <c r="E27" i="4"/>
  <c r="E35" i="20"/>
  <c r="E34" i="20"/>
  <c r="E27" i="20"/>
  <c r="B26" i="20"/>
  <c r="E16" i="20"/>
  <c r="P5" i="20"/>
  <c r="E34" i="19"/>
  <c r="E27" i="19"/>
  <c r="B26" i="19"/>
  <c r="E16" i="19"/>
  <c r="P5" i="19"/>
  <c r="B2" i="19"/>
  <c r="E9" i="17"/>
  <c r="G24" i="8"/>
  <c r="E23" i="8"/>
  <c r="E36" i="20" l="1"/>
  <c r="E15" i="12" s="1"/>
  <c r="F20" i="15"/>
  <c r="F9" i="15"/>
  <c r="M4" i="12"/>
  <c r="P4" i="12"/>
  <c r="M12" i="12"/>
  <c r="P12" i="12"/>
  <c r="P5" i="4"/>
  <c r="P5" i="14"/>
  <c r="E35" i="14"/>
  <c r="E34" i="14"/>
  <c r="B26" i="14"/>
  <c r="E16" i="14"/>
  <c r="B2" i="14"/>
  <c r="E34" i="13"/>
  <c r="P5" i="13"/>
  <c r="E33" i="13"/>
  <c r="B26" i="13"/>
  <c r="B2" i="13"/>
  <c r="J36" i="13"/>
  <c r="E3" i="12"/>
  <c r="K14" i="8" s="1"/>
  <c r="E35" i="4"/>
  <c r="E34" i="4"/>
  <c r="B2" i="12"/>
  <c r="B1" i="12"/>
  <c r="B26" i="4"/>
  <c r="E16" i="4"/>
  <c r="E16" i="13" s="1"/>
  <c r="E13" i="13"/>
  <c r="N27" i="8"/>
  <c r="E20" i="20" s="1"/>
  <c r="F32" i="8"/>
  <c r="F13" i="8"/>
  <c r="B30" i="8"/>
  <c r="B11" i="8"/>
  <c r="F35" i="8"/>
  <c r="F17" i="8"/>
  <c r="F20" i="8"/>
  <c r="F22" i="8"/>
  <c r="F24" i="8" s="1"/>
  <c r="E14" i="14" l="1"/>
  <c r="E14" i="19"/>
  <c r="E14" i="20"/>
  <c r="E14" i="4"/>
  <c r="E14" i="13" s="1"/>
  <c r="P39" i="20"/>
  <c r="E27" i="12" s="1"/>
  <c r="P25" i="20"/>
  <c r="E31" i="12" s="1"/>
  <c r="B35" i="4"/>
  <c r="B35" i="19"/>
  <c r="C10" i="18" s="1"/>
  <c r="I16" i="18" s="1"/>
  <c r="B35" i="20"/>
  <c r="K36" i="8"/>
  <c r="K34" i="8"/>
  <c r="K35" i="8"/>
  <c r="K6" i="8"/>
  <c r="B34" i="20"/>
  <c r="A1" i="19"/>
  <c r="E20" i="4"/>
  <c r="E20" i="13" s="1"/>
  <c r="E20" i="19"/>
  <c r="F26" i="8"/>
  <c r="E36" i="4"/>
  <c r="E37" i="12" s="1"/>
  <c r="B34" i="4"/>
  <c r="K33" i="8"/>
  <c r="K25" i="8"/>
  <c r="K24" i="8"/>
  <c r="N29" i="8"/>
  <c r="E25" i="20" s="1"/>
  <c r="E20" i="14"/>
  <c r="A1" i="14"/>
  <c r="A1" i="13"/>
  <c r="B35" i="14"/>
  <c r="K27" i="8"/>
  <c r="K30" i="8"/>
  <c r="F37" i="8"/>
  <c r="N28" i="8"/>
  <c r="K31" i="8"/>
  <c r="K28" i="8"/>
  <c r="K29" i="8"/>
  <c r="A43" i="13"/>
  <c r="F26" i="13"/>
  <c r="K32" i="8"/>
  <c r="E15" i="14" l="1"/>
  <c r="E18" i="14" s="1"/>
  <c r="E15" i="19"/>
  <c r="E18" i="19" s="1"/>
  <c r="E15" i="20"/>
  <c r="E18" i="20" s="1"/>
  <c r="A1" i="20"/>
  <c r="J26" i="19"/>
  <c r="J24" i="19"/>
  <c r="E25" i="14"/>
  <c r="E25" i="19"/>
  <c r="E15" i="4"/>
  <c r="E15" i="13" s="1"/>
  <c r="E18" i="13" s="1"/>
  <c r="A1" i="4"/>
  <c r="M10" i="12"/>
  <c r="E18" i="4"/>
  <c r="N34" i="8" s="1"/>
  <c r="F39" i="8"/>
  <c r="E25" i="13"/>
  <c r="E25" i="4"/>
  <c r="N32" i="8"/>
  <c r="J24" i="14"/>
  <c r="J26" i="14"/>
  <c r="N31" i="8"/>
  <c r="N33" i="8"/>
  <c r="N30" i="8"/>
  <c r="E8" i="14" l="1"/>
  <c r="E8" i="20"/>
  <c r="E8" i="19"/>
  <c r="P10" i="12"/>
  <c r="P13" i="12" s="1"/>
  <c r="E8" i="4"/>
  <c r="E8" i="13"/>
  <c r="N36" i="8"/>
  <c r="E26" i="19" l="1"/>
  <c r="E28" i="19" s="1"/>
  <c r="E26" i="20"/>
  <c r="E28" i="20" s="1"/>
  <c r="E14" i="12" s="1"/>
  <c r="E17" i="12" s="1"/>
  <c r="P15" i="12"/>
  <c r="E26" i="13"/>
  <c r="E27" i="13" s="1"/>
  <c r="P39" i="13" s="1"/>
  <c r="E26" i="14"/>
  <c r="E26" i="4"/>
  <c r="E28" i="4" s="1"/>
  <c r="B4" i="12" s="1"/>
  <c r="D30" i="12" s="1"/>
  <c r="E18" i="12" l="1"/>
  <c r="G4" i="12"/>
  <c r="B34" i="19"/>
  <c r="G2" i="12"/>
  <c r="G3" i="12"/>
  <c r="E36" i="12"/>
  <c r="B3" i="12"/>
  <c r="P38" i="19"/>
  <c r="D25" i="12" s="1"/>
  <c r="D14" i="12"/>
  <c r="D17" i="12" s="1"/>
  <c r="P6" i="19"/>
  <c r="P16" i="19"/>
  <c r="P37" i="20"/>
  <c r="E25" i="12" s="1"/>
  <c r="P16" i="20"/>
  <c r="P6" i="20"/>
  <c r="E28" i="14"/>
  <c r="D36" i="12" s="1"/>
  <c r="P6" i="4"/>
  <c r="P16" i="13"/>
  <c r="P37" i="4"/>
  <c r="E47" i="12" s="1"/>
  <c r="A30" i="13"/>
  <c r="I3" i="13"/>
  <c r="P6" i="13"/>
  <c r="P7" i="13" s="1"/>
  <c r="P9" i="13" s="1"/>
  <c r="P16" i="4"/>
  <c r="E40" i="12" l="1"/>
  <c r="E39" i="12"/>
  <c r="D40" i="12"/>
  <c r="D39" i="12"/>
  <c r="D18" i="12"/>
  <c r="E36" i="19"/>
  <c r="F3" i="12"/>
  <c r="D52" i="12"/>
  <c r="F4" i="12"/>
  <c r="F2" i="12"/>
  <c r="P31" i="19"/>
  <c r="P7" i="19"/>
  <c r="B34" i="14"/>
  <c r="F17" i="15"/>
  <c r="P30" i="20"/>
  <c r="P7" i="20"/>
  <c r="P9" i="20" s="1"/>
  <c r="B33" i="19"/>
  <c r="P30" i="4"/>
  <c r="M11" i="12"/>
  <c r="P38" i="14"/>
  <c r="D47" i="12" s="1"/>
  <c r="P6" i="14"/>
  <c r="P16" i="14"/>
  <c r="B33" i="14"/>
  <c r="P13" i="13"/>
  <c r="P14" i="13" s="1"/>
  <c r="P17" i="13"/>
  <c r="K10" i="13"/>
  <c r="P7" i="4"/>
  <c r="P9" i="4" s="1"/>
  <c r="P17" i="4" s="1"/>
  <c r="B33" i="13"/>
  <c r="B32" i="13"/>
  <c r="D15" i="12" l="1"/>
  <c r="P9" i="19"/>
  <c r="K10" i="19" s="1"/>
  <c r="P17" i="20"/>
  <c r="K10" i="20"/>
  <c r="P13" i="20"/>
  <c r="P14" i="20" s="1"/>
  <c r="F6" i="15"/>
  <c r="E6" i="17"/>
  <c r="P7" i="14"/>
  <c r="P9" i="14" s="1"/>
  <c r="P13" i="14" s="1"/>
  <c r="P14" i="14" s="1"/>
  <c r="M3" i="12"/>
  <c r="P3" i="12"/>
  <c r="M5" i="12"/>
  <c r="P11" i="12"/>
  <c r="M13" i="12"/>
  <c r="M14" i="12" s="1"/>
  <c r="M16" i="12" s="1"/>
  <c r="P31" i="14"/>
  <c r="E36" i="14"/>
  <c r="E35" i="13"/>
  <c r="P13" i="4"/>
  <c r="P14" i="4" s="1"/>
  <c r="K10" i="4"/>
  <c r="P18" i="13"/>
  <c r="P20" i="13" s="1"/>
  <c r="P40" i="13" s="1"/>
  <c r="P25" i="19" l="1"/>
  <c r="D31" i="12" s="1"/>
  <c r="P26" i="19"/>
  <c r="D32" i="12" s="1"/>
  <c r="P40" i="19"/>
  <c r="D27" i="12" s="1"/>
  <c r="P13" i="19"/>
  <c r="P14" i="19" s="1"/>
  <c r="P17" i="19"/>
  <c r="D37" i="12"/>
  <c r="P26" i="14"/>
  <c r="P2" i="12"/>
  <c r="P18" i="20"/>
  <c r="P17" i="14"/>
  <c r="K10" i="14"/>
  <c r="M6" i="12"/>
  <c r="M7" i="12" s="1"/>
  <c r="P16" i="12"/>
  <c r="P14" i="12"/>
  <c r="M15" i="12"/>
  <c r="M2" i="12"/>
  <c r="P40" i="14"/>
  <c r="D49" i="12" s="1"/>
  <c r="P25" i="14"/>
  <c r="D53" i="12" s="1"/>
  <c r="P18" i="4"/>
  <c r="E41" i="12" s="1"/>
  <c r="P25" i="4"/>
  <c r="E53" i="12" s="1"/>
  <c r="P39" i="4"/>
  <c r="E49" i="12" s="1"/>
  <c r="P37" i="13"/>
  <c r="P38" i="13" s="1"/>
  <c r="P24" i="13"/>
  <c r="P41" i="13"/>
  <c r="D54" i="12" l="1"/>
  <c r="P18" i="19"/>
  <c r="D19" i="12" s="1"/>
  <c r="F19" i="15"/>
  <c r="P20" i="20"/>
  <c r="P29" i="20" s="1"/>
  <c r="E19" i="12"/>
  <c r="P20" i="4"/>
  <c r="P29" i="4" s="1"/>
  <c r="P18" i="14"/>
  <c r="F8" i="15"/>
  <c r="E8" i="17"/>
  <c r="M8" i="12"/>
  <c r="P6" i="12"/>
  <c r="P5" i="12"/>
  <c r="P8" i="12" s="1"/>
  <c r="P32" i="13"/>
  <c r="P33" i="13" s="1"/>
  <c r="P25" i="13"/>
  <c r="P28" i="13" s="1"/>
  <c r="P29" i="13" s="1"/>
  <c r="P20" i="19" l="1"/>
  <c r="P30" i="19" s="1"/>
  <c r="D21" i="12" s="1"/>
  <c r="D41" i="12"/>
  <c r="E21" i="12"/>
  <c r="E43" i="12"/>
  <c r="P26" i="20"/>
  <c r="P31" i="20" s="1"/>
  <c r="P26" i="4"/>
  <c r="E42" i="12" s="1"/>
  <c r="P20" i="14"/>
  <c r="P7" i="12"/>
  <c r="I35" i="13"/>
  <c r="P27" i="19" l="1"/>
  <c r="P32" i="19" s="1"/>
  <c r="I34" i="19" s="1"/>
  <c r="P30" i="14"/>
  <c r="D43" i="12" s="1"/>
  <c r="P27" i="14"/>
  <c r="P31" i="4"/>
  <c r="E44" i="12" s="1"/>
  <c r="E22" i="12"/>
  <c r="E20" i="12"/>
  <c r="D20" i="12" l="1"/>
  <c r="P39" i="19"/>
  <c r="D26" i="12" s="1"/>
  <c r="D22" i="12"/>
  <c r="D42" i="12"/>
  <c r="P32" i="14"/>
  <c r="D44" i="12" s="1"/>
  <c r="I33" i="20"/>
  <c r="P38" i="20"/>
  <c r="I33" i="4"/>
  <c r="P38" i="4"/>
  <c r="E48" i="12" s="1"/>
  <c r="P36" i="19" l="1"/>
  <c r="P37" i="19" s="1"/>
  <c r="D24" i="12" s="1"/>
  <c r="P35" i="20"/>
  <c r="E26" i="12"/>
  <c r="F18" i="15"/>
  <c r="P35" i="4"/>
  <c r="I34" i="14"/>
  <c r="P39" i="14"/>
  <c r="D48" i="12" s="1"/>
  <c r="D23" i="12" l="1"/>
  <c r="D13" i="12"/>
  <c r="J26" i="18" s="1"/>
  <c r="E45" i="12"/>
  <c r="P36" i="20"/>
  <c r="E24" i="12" s="1"/>
  <c r="E23" i="12"/>
  <c r="P36" i="4"/>
  <c r="E46" i="12" s="1"/>
  <c r="C15" i="15"/>
  <c r="C16" i="15" s="1"/>
  <c r="F15" i="15"/>
  <c r="E7" i="17"/>
  <c r="F7" i="15"/>
  <c r="P36" i="14"/>
  <c r="D35" i="12" l="1"/>
  <c r="D20" i="18" s="1"/>
  <c r="E13" i="12"/>
  <c r="I14" i="18" s="1"/>
  <c r="D45" i="12"/>
  <c r="C17" i="15"/>
  <c r="L20" i="12" s="1"/>
  <c r="F16" i="15"/>
  <c r="F21" i="15" s="1"/>
  <c r="E4" i="17"/>
  <c r="P37" i="14"/>
  <c r="D46" i="12" s="1"/>
  <c r="C4" i="15"/>
  <c r="F4" i="15"/>
  <c r="E35" i="12" l="1"/>
  <c r="E6" i="18" s="1"/>
  <c r="K34" i="18"/>
  <c r="K28" i="18"/>
  <c r="K12" i="18"/>
  <c r="K36" i="18"/>
  <c r="K33" i="18"/>
  <c r="K27" i="18"/>
  <c r="K22" i="18"/>
  <c r="H10" i="18"/>
  <c r="K21" i="18"/>
  <c r="K20" i="18"/>
  <c r="K32" i="18"/>
  <c r="K37" i="18" s="1"/>
  <c r="K35" i="18"/>
  <c r="K31" i="18"/>
  <c r="H16" i="12" s="1"/>
  <c r="I30" i="18" s="1"/>
  <c r="K14" i="18"/>
  <c r="K17" i="18" s="1"/>
  <c r="C5" i="15"/>
  <c r="C6" i="15"/>
  <c r="L19" i="12" s="1"/>
  <c r="C26" i="15" s="1"/>
  <c r="K6" i="18" s="1"/>
  <c r="E5" i="17"/>
  <c r="F5" i="15"/>
  <c r="F10" i="15" s="1"/>
  <c r="E22" i="18" l="1"/>
  <c r="E28" i="18"/>
  <c r="C8" i="18"/>
  <c r="E29" i="18"/>
  <c r="E8" i="18"/>
  <c r="E11" i="18" s="1"/>
  <c r="E15" i="18"/>
  <c r="E25" i="18"/>
  <c r="H15" i="12" s="1"/>
  <c r="E27" i="18"/>
  <c r="E21" i="18"/>
  <c r="A4" i="18"/>
  <c r="H4" i="18" s="1"/>
  <c r="E16" i="18"/>
  <c r="E20" i="18" s="1"/>
  <c r="K26" i="18"/>
  <c r="K25" i="18"/>
  <c r="E14" i="18"/>
  <c r="E30" i="18"/>
  <c r="E26" i="18"/>
  <c r="A24" i="18" l="1"/>
  <c r="E19" i="18"/>
  <c r="K4" i="18"/>
</calcChain>
</file>

<file path=xl/sharedStrings.xml><?xml version="1.0" encoding="utf-8"?>
<sst xmlns="http://schemas.openxmlformats.org/spreadsheetml/2006/main" count="504" uniqueCount="168">
  <si>
    <t>BORROWER INPUTS</t>
  </si>
  <si>
    <t>Cell Color Code</t>
  </si>
  <si>
    <t>MORTGAGE INFORMATION</t>
  </si>
  <si>
    <t>Requires Input</t>
  </si>
  <si>
    <t>Linked Cell</t>
  </si>
  <si>
    <t>Formula Cell</t>
  </si>
  <si>
    <t>Result Cell</t>
  </si>
  <si>
    <t>Owner Type</t>
  </si>
  <si>
    <t>BORROWER INFORMATION</t>
  </si>
  <si>
    <t>Loan Terms</t>
  </si>
  <si>
    <t>Estimated Value of Property</t>
  </si>
  <si>
    <t>Original Principal</t>
  </si>
  <si>
    <t>Term in Months</t>
  </si>
  <si>
    <t>Current Interest Rate</t>
  </si>
  <si>
    <t>Borrower Gross Monthly Income</t>
  </si>
  <si>
    <t>Rate Type</t>
  </si>
  <si>
    <t>Fixed Rate</t>
  </si>
  <si>
    <t>Timing of Employment Income</t>
  </si>
  <si>
    <t>Monthly</t>
  </si>
  <si>
    <t>Date of First Payment</t>
  </si>
  <si>
    <t>Employment Income</t>
  </si>
  <si>
    <t>Monthly Employment Income</t>
  </si>
  <si>
    <t>Monthly Contribution</t>
  </si>
  <si>
    <t>Monthly Property Taxes</t>
  </si>
  <si>
    <t>Monthly Fixed Income</t>
  </si>
  <si>
    <t>Monthly Homeowner's Insurance</t>
  </si>
  <si>
    <t>Monthly Untaxed Income</t>
  </si>
  <si>
    <t>Monthly Association Fees</t>
  </si>
  <si>
    <t>Grossed up</t>
  </si>
  <si>
    <t>Arrears and UPB</t>
  </si>
  <si>
    <t>Rental income</t>
  </si>
  <si>
    <t>UPB Information:</t>
  </si>
  <si>
    <t>Primary Residence</t>
  </si>
  <si>
    <t>Reduced by 25%</t>
  </si>
  <si>
    <t>Rental Property</t>
  </si>
  <si>
    <t>Default Date</t>
  </si>
  <si>
    <t>Subtotal</t>
  </si>
  <si>
    <t>Co-Borrower</t>
  </si>
  <si>
    <t>Monthly PITIA Payment</t>
  </si>
  <si>
    <t>Gross Monthly Income</t>
  </si>
  <si>
    <t>MFY Legal Services Inc.'s Proprietary Waterfall Worksheet</t>
  </si>
  <si>
    <t>STEP 4: FORBEAR PRINCIPAL</t>
  </si>
  <si>
    <t>Property value</t>
  </si>
  <si>
    <t>Capitalized UPB</t>
  </si>
  <si>
    <t>Post-Mod LTV</t>
  </si>
  <si>
    <t>Is post-mod LTV greater than 100%?</t>
  </si>
  <si>
    <t>CURRENT MONTHLY PITIA AMOUNT</t>
  </si>
  <si>
    <t>Forbear the lesser of….</t>
  </si>
  <si>
    <t>(i) Post-mod LTV = 100%</t>
  </si>
  <si>
    <t>Principal &amp; Interest</t>
  </si>
  <si>
    <t>New UPB</t>
  </si>
  <si>
    <t>Taxes</t>
  </si>
  <si>
    <t>+</t>
  </si>
  <si>
    <t>Forbearance</t>
  </si>
  <si>
    <t>Insurance</t>
  </si>
  <si>
    <t>(ii) 30% of capitalized UPB</t>
  </si>
  <si>
    <t>Association Fee</t>
  </si>
  <si>
    <t>Amount to forbear</t>
  </si>
  <si>
    <t>Remaining Term on Loan</t>
  </si>
  <si>
    <t>months</t>
  </si>
  <si>
    <t>New interest-bearing principal balance</t>
  </si>
  <si>
    <t>STEP 5: TEST FOR FURTHER FORBEARANCE</t>
  </si>
  <si>
    <t>STEP 1: CAPITALIZE THE ARREARAGE</t>
  </si>
  <si>
    <t>Current Principal Balance</t>
  </si>
  <si>
    <t>Target Amortizing UPB for 20% P&amp;I Reduction</t>
  </si>
  <si>
    <t>Unpaid Principal Balance</t>
  </si>
  <si>
    <t>Additional Forbearance Needed For Target</t>
  </si>
  <si>
    <t>Forbearance Limits</t>
  </si>
  <si>
    <t>STEP 2: SET INTEREST RATE</t>
  </si>
  <si>
    <t>MTMLTV at 80%</t>
  </si>
  <si>
    <t>30% of Post-Mod UPB</t>
  </si>
  <si>
    <t>Additional Forbearance</t>
  </si>
  <si>
    <t>Result</t>
  </si>
  <si>
    <t>New P&amp;I Payment</t>
  </si>
  <si>
    <t>New PITIA Payment</t>
  </si>
  <si>
    <t>New Principal Balance</t>
  </si>
  <si>
    <t>STEP 3: EXTEND THE TERM</t>
  </si>
  <si>
    <t>Principal Forbearance</t>
  </si>
  <si>
    <t>New Interest Rate</t>
  </si>
  <si>
    <t>New mortgage term</t>
  </si>
  <si>
    <t xml:space="preserve"> months</t>
  </si>
  <si>
    <t>New Term</t>
  </si>
  <si>
    <t>Mobilization for Justice Inc.'s Proprietary Waterfall Worksheet</t>
  </si>
  <si>
    <t>Is post-mod LTV greater than 115%?</t>
  </si>
  <si>
    <t>(i) Post-mod LTV = 115%</t>
  </si>
  <si>
    <t>TEST FOR AFFORDABILITY</t>
  </si>
  <si>
    <t>CAPITALIZE THE ARREARAGE</t>
  </si>
  <si>
    <t>Post-mod P&amp;I payment</t>
  </si>
  <si>
    <t>Post-mod PITIA payment</t>
  </si>
  <si>
    <t>(1) Is new DTI between 10% and 55%</t>
  </si>
  <si>
    <t>Post-mod DTI</t>
  </si>
  <si>
    <t>Answer</t>
  </si>
  <si>
    <t>(2) Is new P&amp;I less than old P&amp;I?</t>
  </si>
  <si>
    <t xml:space="preserve">Percent Reduction </t>
  </si>
  <si>
    <t>Current Rate</t>
  </si>
  <si>
    <t>EXTEND THE TERM</t>
  </si>
  <si>
    <t>Owner</t>
  </si>
  <si>
    <t>Infotype</t>
  </si>
  <si>
    <t>Adjustable Rate</t>
  </si>
  <si>
    <t>Lifetime Rate Cap</t>
  </si>
  <si>
    <t>MTMLTV</t>
  </si>
  <si>
    <t>Step Rate</t>
  </si>
  <si>
    <t>Final Interest Rate</t>
  </si>
  <si>
    <t>Current as of FNMA Lender Letter 2016-06</t>
  </si>
  <si>
    <t>Current as of FNMA Servicing Announcement 2015-12</t>
  </si>
  <si>
    <t>Current as of FDMC Servicing Bulletin 2017-1</t>
  </si>
  <si>
    <t>Current as of FDMC Servicing Bulletin 2015-15</t>
  </si>
  <si>
    <t>Lesser of:</t>
  </si>
  <si>
    <t>Target P&amp;I Reduction</t>
  </si>
  <si>
    <t>Eligible For Flex</t>
  </si>
  <si>
    <t>Eligible For COVID Flex</t>
  </si>
  <si>
    <t>Amortizing Target</t>
  </si>
  <si>
    <t>LTV @ 80</t>
  </si>
  <si>
    <t>30% UPB</t>
  </si>
  <si>
    <t>LTV @ 100</t>
  </si>
  <si>
    <t>UPB</t>
  </si>
  <si>
    <t>Max Forbearance</t>
  </si>
  <si>
    <t>Min Amortizing Balance</t>
  </si>
  <si>
    <t>HAF Award</t>
  </si>
  <si>
    <t>Income Target</t>
  </si>
  <si>
    <t>HAF</t>
  </si>
  <si>
    <t>30% UPB (Income Target)</t>
  </si>
  <si>
    <t>Needed for Flex Eligibility</t>
  </si>
  <si>
    <t>Needed for COVID Flex</t>
  </si>
  <si>
    <t>Needed for Flex with 40% HTI</t>
  </si>
  <si>
    <t>Needed for COVID Flex with 40% HTI</t>
  </si>
  <si>
    <t>-</t>
  </si>
  <si>
    <t>Recommended HAF</t>
  </si>
  <si>
    <t>HTI</t>
  </si>
  <si>
    <t>Flex, 40 HTI, No HAF</t>
  </si>
  <si>
    <t>COVID Flex, 40 HTI, No HAF</t>
  </si>
  <si>
    <t>Flex Modification</t>
  </si>
  <si>
    <t>COVID Flex Modification</t>
  </si>
  <si>
    <t>Rate</t>
  </si>
  <si>
    <t>Term</t>
  </si>
  <si>
    <t>Step 1</t>
  </si>
  <si>
    <t>Step 2</t>
  </si>
  <si>
    <t>Step 3</t>
  </si>
  <si>
    <t>Fobear Lesser of</t>
  </si>
  <si>
    <t>100% LTV</t>
  </si>
  <si>
    <t>Step 4</t>
  </si>
  <si>
    <t>Target Fobearance</t>
  </si>
  <si>
    <t>Available</t>
  </si>
  <si>
    <t>New P&amp;I Pmt</t>
  </si>
  <si>
    <t>New PITIA Pmt</t>
  </si>
  <si>
    <t>Flex HAF</t>
  </si>
  <si>
    <t>COVID HAF</t>
  </si>
  <si>
    <t>Do this one?</t>
  </si>
  <si>
    <t>Product</t>
  </si>
  <si>
    <t>Flex Modification with HAF</t>
  </si>
  <si>
    <t>COVID Flex Modification with HAF</t>
  </si>
  <si>
    <t>Modification Analysis Without HAF</t>
  </si>
  <si>
    <t>Modification Analysis with HAF</t>
  </si>
  <si>
    <t>Fobear lesser of</t>
  </si>
  <si>
    <t>Proposed HAF</t>
  </si>
  <si>
    <t>Rate Line</t>
  </si>
  <si>
    <t>Modification Rate</t>
  </si>
  <si>
    <t>Further Forbearance</t>
  </si>
  <si>
    <t>CMTMLTV</t>
  </si>
  <si>
    <t>20% PI PMT Forbear</t>
  </si>
  <si>
    <t>40% HTI Forbear</t>
  </si>
  <si>
    <t>Target @ 80% P&amp;I</t>
  </si>
  <si>
    <t>Rate to Lesser of:</t>
  </si>
  <si>
    <t>Fannie Mae</t>
  </si>
  <si>
    <t>UPB at Default</t>
  </si>
  <si>
    <t>View Type</t>
  </si>
  <si>
    <t>Mortgage Statement</t>
  </si>
  <si>
    <t>Amount of Principal Forbearance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</si>
</sst>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0.000%"/>
    <numFmt numFmtId="167" formatCode="_([$$-409]* #,##0.00_);_([$$-409]* \(#,##0.00\);_([$$-409]* &quot;-&quot;??_);_(@_)"/>
    <numFmt numFmtId="168" formatCode="_(&quot;$&quot;* #,##0.000_);_(&quot;$&quot;* \(#,##0.000\);_(&quot;$&quot;* &quot;-&quot;???_);_(@_)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i/>
      <sz val="10"/>
      <name val="Arial"/>
      <family val="2"/>
    </font>
    <font>
      <b/>
      <u/>
      <sz val="14"/>
      <name val="Times New Roman"/>
      <family val="1"/>
    </font>
    <font>
      <sz val="12"/>
      <name val="Arial"/>
      <family val="2"/>
    </font>
    <font>
      <u/>
      <sz val="10"/>
      <color indexed="12"/>
      <name val="Verdana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u/>
      <sz val="12"/>
      <name val="Times New Roman"/>
      <family val="1"/>
    </font>
    <font>
      <i/>
      <sz val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4"/>
      <color theme="0"/>
      <name val="Times New Roman"/>
      <family val="1"/>
    </font>
    <font>
      <u/>
      <sz val="10"/>
      <color rgb="FF0000FF"/>
      <name val="Arial"/>
      <family val="2"/>
    </font>
    <font>
      <b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A7A7A7"/>
        <bgColor indexed="64"/>
      </patternFill>
    </fill>
    <fill>
      <patternFill patternType="solid">
        <fgColor rgb="FFFFFF99"/>
        <bgColor indexed="64"/>
      </patternFill>
    </fill>
    <fill>
      <patternFill patternType="darkGray">
        <bgColor indexed="8"/>
      </patternFill>
    </fill>
    <fill>
      <patternFill patternType="darkGray">
        <bgColor theme="1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17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Fill="1"/>
    <xf numFmtId="0" fontId="0" fillId="0" borderId="0" xfId="0" applyFill="1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7" fillId="0" borderId="0" xfId="0" applyFont="1" applyBorder="1"/>
    <xf numFmtId="0" fontId="0" fillId="0" borderId="0" xfId="0" quotePrefix="1" applyBorder="1"/>
    <xf numFmtId="0" fontId="3" fillId="0" borderId="0" xfId="0" applyFont="1" applyFill="1" applyBorder="1"/>
    <xf numFmtId="0" fontId="4" fillId="0" borderId="0" xfId="0" applyFont="1" applyBorder="1"/>
    <xf numFmtId="0" fontId="0" fillId="0" borderId="10" xfId="0" applyBorder="1"/>
    <xf numFmtId="0" fontId="11" fillId="0" borderId="0" xfId="0" applyFont="1" applyBorder="1"/>
    <xf numFmtId="0" fontId="6" fillId="0" borderId="0" xfId="0" applyFont="1" applyBorder="1"/>
    <xf numFmtId="0" fontId="0" fillId="0" borderId="13" xfId="0" applyBorder="1"/>
    <xf numFmtId="0" fontId="4" fillId="0" borderId="14" xfId="0" applyFont="1" applyBorder="1"/>
    <xf numFmtId="14" fontId="1" fillId="3" borderId="2" xfId="1" applyNumberFormat="1" applyFill="1" applyBorder="1" applyProtection="1">
      <protection locked="0"/>
    </xf>
    <xf numFmtId="1" fontId="1" fillId="2" borderId="2" xfId="1" applyNumberFormat="1" applyFill="1" applyBorder="1"/>
    <xf numFmtId="166" fontId="1" fillId="7" borderId="2" xfId="3" applyNumberFormat="1" applyFill="1" applyBorder="1" applyProtection="1">
      <protection locked="0"/>
    </xf>
    <xf numFmtId="44" fontId="1" fillId="3" borderId="2" xfId="4" applyFill="1" applyBorder="1" applyAlignment="1" applyProtection="1">
      <protection locked="0"/>
    </xf>
    <xf numFmtId="0" fontId="8" fillId="0" borderId="0" xfId="0" applyFont="1" applyBorder="1" applyAlignment="1">
      <alignment horizontal="center"/>
    </xf>
    <xf numFmtId="165" fontId="1" fillId="7" borderId="2" xfId="1" applyNumberFormat="1" applyFill="1" applyBorder="1" applyAlignment="1" applyProtection="1">
      <alignment horizontal="right"/>
      <protection locked="0"/>
    </xf>
    <xf numFmtId="44" fontId="1" fillId="8" borderId="0" xfId="4" applyFill="1" applyBorder="1"/>
    <xf numFmtId="44" fontId="1" fillId="2" borderId="2" xfId="4" applyFill="1" applyBorder="1" applyAlignment="1"/>
    <xf numFmtId="44" fontId="1" fillId="2" borderId="2" xfId="4" applyFill="1" applyBorder="1" applyAlignment="1">
      <alignment horizontal="left"/>
    </xf>
    <xf numFmtId="44" fontId="1" fillId="0" borderId="0" xfId="4" applyFill="1" applyBorder="1" applyAlignment="1">
      <alignment horizontal="left"/>
    </xf>
    <xf numFmtId="44" fontId="3" fillId="0" borderId="0" xfId="4" applyFont="1" applyFill="1" applyBorder="1" applyAlignment="1">
      <alignment horizontal="left"/>
    </xf>
    <xf numFmtId="44" fontId="0" fillId="0" borderId="0" xfId="4" applyFont="1" applyBorder="1" applyAlignment="1">
      <alignment horizontal="left"/>
    </xf>
    <xf numFmtId="44" fontId="1" fillId="7" borderId="2" xfId="4" applyFill="1" applyBorder="1" applyAlignment="1" applyProtection="1">
      <protection locked="0"/>
    </xf>
    <xf numFmtId="44" fontId="0" fillId="10" borderId="1" xfId="4" applyFont="1" applyFill="1" applyBorder="1" applyAlignment="1" applyProtection="1">
      <alignment horizontal="right"/>
    </xf>
    <xf numFmtId="0" fontId="0" fillId="7" borderId="2" xfId="0" applyFill="1" applyBorder="1" applyAlignment="1" applyProtection="1">
      <alignment horizontal="right"/>
      <protection locked="0"/>
    </xf>
    <xf numFmtId="44" fontId="0" fillId="7" borderId="2" xfId="4" applyFont="1" applyFill="1" applyBorder="1" applyAlignment="1" applyProtection="1">
      <alignment horizontal="left"/>
      <protection locked="0"/>
    </xf>
    <xf numFmtId="0" fontId="0" fillId="0" borderId="4" xfId="0" applyBorder="1" applyProtection="1"/>
    <xf numFmtId="0" fontId="0" fillId="0" borderId="5" xfId="0" applyBorder="1" applyProtection="1"/>
    <xf numFmtId="0" fontId="0" fillId="6" borderId="5" xfId="0" applyFill="1" applyBorder="1" applyProtection="1"/>
    <xf numFmtId="0" fontId="0" fillId="0" borderId="0" xfId="0" applyProtection="1"/>
    <xf numFmtId="0" fontId="0" fillId="0" borderId="8" xfId="0" applyBorder="1" applyProtection="1"/>
    <xf numFmtId="0" fontId="8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Fill="1" applyBorder="1" applyProtection="1"/>
    <xf numFmtId="0" fontId="0" fillId="6" borderId="0" xfId="0" applyFill="1" applyBorder="1" applyProtection="1"/>
    <xf numFmtId="0" fontId="12" fillId="0" borderId="0" xfId="0" applyFont="1" applyBorder="1" applyProtection="1"/>
    <xf numFmtId="44" fontId="0" fillId="4" borderId="2" xfId="4" applyFont="1" applyFill="1" applyBorder="1" applyProtection="1"/>
    <xf numFmtId="10" fontId="0" fillId="2" borderId="2" xfId="0" applyNumberFormat="1" applyFill="1" applyBorder="1" applyProtection="1"/>
    <xf numFmtId="0" fontId="3" fillId="0" borderId="0" xfId="0" applyFont="1" applyBorder="1" applyProtection="1"/>
    <xf numFmtId="44" fontId="3" fillId="4" borderId="2" xfId="4" applyFont="1" applyFill="1" applyBorder="1" applyProtection="1"/>
    <xf numFmtId="43" fontId="0" fillId="0" borderId="0" xfId="0" applyNumberFormat="1" applyBorder="1" applyProtection="1"/>
    <xf numFmtId="0" fontId="3" fillId="2" borderId="2" xfId="0" applyFont="1" applyFill="1" applyBorder="1" applyAlignment="1" applyProtection="1">
      <alignment horizontal="right"/>
    </xf>
    <xf numFmtId="0" fontId="7" fillId="0" borderId="0" xfId="0" applyFont="1" applyBorder="1" applyProtection="1"/>
    <xf numFmtId="0" fontId="11" fillId="0" borderId="0" xfId="0" applyFont="1" applyBorder="1" applyProtection="1"/>
    <xf numFmtId="43" fontId="1" fillId="0" borderId="0" xfId="1" applyBorder="1" applyProtection="1"/>
    <xf numFmtId="165" fontId="5" fillId="0" borderId="0" xfId="1" applyNumberFormat="1" applyFont="1" applyBorder="1" applyProtection="1"/>
    <xf numFmtId="44" fontId="0" fillId="2" borderId="2" xfId="4" applyFont="1" applyFill="1" applyBorder="1" applyAlignment="1" applyProtection="1">
      <alignment horizontal="left"/>
    </xf>
    <xf numFmtId="44" fontId="1" fillId="4" borderId="2" xfId="4" applyFill="1" applyBorder="1" applyProtection="1"/>
    <xf numFmtId="0" fontId="0" fillId="0" borderId="0" xfId="0" quotePrefix="1" applyBorder="1" applyProtection="1"/>
    <xf numFmtId="44" fontId="0" fillId="0" borderId="0" xfId="4" applyFont="1" applyBorder="1" applyAlignment="1" applyProtection="1">
      <alignment horizontal="left"/>
    </xf>
    <xf numFmtId="0" fontId="0" fillId="0" borderId="0" xfId="0" applyFont="1" applyFill="1" applyBorder="1" applyProtection="1"/>
    <xf numFmtId="44" fontId="3" fillId="2" borderId="2" xfId="4" applyFont="1" applyFill="1" applyBorder="1" applyProtection="1"/>
    <xf numFmtId="0" fontId="3" fillId="0" borderId="0" xfId="0" applyFont="1" applyFill="1" applyBorder="1" applyProtection="1"/>
    <xf numFmtId="10" fontId="1" fillId="0" borderId="0" xfId="3" applyNumberFormat="1" applyBorder="1" applyProtection="1"/>
    <xf numFmtId="10" fontId="3" fillId="0" borderId="0" xfId="1" applyNumberFormat="1" applyFont="1" applyBorder="1" applyProtection="1"/>
    <xf numFmtId="164" fontId="5" fillId="0" borderId="0" xfId="1" applyNumberFormat="1" applyFont="1" applyBorder="1" applyAlignment="1" applyProtection="1">
      <alignment horizontal="center"/>
    </xf>
    <xf numFmtId="0" fontId="0" fillId="0" borderId="10" xfId="0" applyBorder="1" applyProtection="1"/>
    <xf numFmtId="44" fontId="1" fillId="4" borderId="12" xfId="4" applyFill="1" applyBorder="1" applyProtection="1"/>
    <xf numFmtId="44" fontId="3" fillId="2" borderId="15" xfId="4" applyFont="1" applyFill="1" applyBorder="1" applyProtection="1"/>
    <xf numFmtId="44" fontId="1" fillId="8" borderId="16" xfId="4" applyFill="1" applyBorder="1" applyProtection="1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167" fontId="1" fillId="3" borderId="2" xfId="4" applyNumberFormat="1" applyFill="1" applyBorder="1" applyAlignment="1" applyProtection="1">
      <alignment horizontal="left"/>
      <protection locked="0"/>
    </xf>
    <xf numFmtId="0" fontId="1" fillId="0" borderId="0" xfId="0" quotePrefix="1" applyFont="1" applyBorder="1" applyProtection="1"/>
    <xf numFmtId="0" fontId="1" fillId="0" borderId="0" xfId="0" applyFont="1" applyBorder="1" applyProtection="1"/>
    <xf numFmtId="0" fontId="3" fillId="8" borderId="0" xfId="0" applyFont="1" applyFill="1" applyBorder="1" applyProtection="1"/>
    <xf numFmtId="0" fontId="15" fillId="0" borderId="5" xfId="0" applyFont="1" applyBorder="1" applyProtection="1">
      <protection hidden="1"/>
    </xf>
    <xf numFmtId="0" fontId="0" fillId="8" borderId="0" xfId="0" applyFill="1" applyProtection="1"/>
    <xf numFmtId="44" fontId="1" fillId="4" borderId="12" xfId="4" applyFill="1" applyBorder="1" applyAlignment="1" applyProtection="1"/>
    <xf numFmtId="0" fontId="0" fillId="8" borderId="0" xfId="0" applyFill="1" applyBorder="1" applyProtection="1"/>
    <xf numFmtId="0" fontId="15" fillId="0" borderId="5" xfId="0" applyFont="1" applyBorder="1" applyAlignment="1" applyProtection="1">
      <protection hidden="1"/>
    </xf>
    <xf numFmtId="44" fontId="0" fillId="0" borderId="0" xfId="4" applyFont="1" applyFill="1"/>
    <xf numFmtId="44" fontId="0" fillId="0" borderId="0" xfId="0" applyNumberFormat="1" applyFill="1"/>
    <xf numFmtId="168" fontId="0" fillId="0" borderId="0" xfId="0" applyNumberFormat="1" applyFill="1"/>
    <xf numFmtId="14" fontId="1" fillId="2" borderId="15" xfId="1" applyNumberFormat="1" applyFill="1" applyBorder="1"/>
    <xf numFmtId="0" fontId="15" fillId="8" borderId="6" xfId="0" applyFont="1" applyFill="1" applyBorder="1"/>
    <xf numFmtId="0" fontId="15" fillId="8" borderId="7" xfId="0" applyFont="1" applyFill="1" applyBorder="1"/>
    <xf numFmtId="0" fontId="6" fillId="0" borderId="0" xfId="0" applyFont="1" applyBorder="1" applyProtection="1"/>
    <xf numFmtId="43" fontId="0" fillId="0" borderId="0" xfId="0" applyNumberForma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14" fillId="0" borderId="10" xfId="0" applyFont="1" applyBorder="1" applyAlignment="1" applyProtection="1">
      <alignment horizontal="right"/>
    </xf>
    <xf numFmtId="0" fontId="0" fillId="8" borderId="7" xfId="0" applyFill="1" applyBorder="1" applyProtection="1"/>
    <xf numFmtId="0" fontId="16" fillId="0" borderId="0" xfId="2" applyFont="1" applyBorder="1" applyAlignment="1" applyProtection="1"/>
    <xf numFmtId="0" fontId="0" fillId="8" borderId="11" xfId="0" applyFill="1" applyBorder="1" applyProtection="1"/>
    <xf numFmtId="0" fontId="0" fillId="8" borderId="18" xfId="0" applyFill="1" applyBorder="1" applyProtection="1"/>
    <xf numFmtId="44" fontId="1" fillId="2" borderId="15" xfId="4" applyFill="1" applyBorder="1" applyAlignment="1">
      <alignment horizontal="left"/>
    </xf>
    <xf numFmtId="0" fontId="1" fillId="0" borderId="0" xfId="0" applyFont="1" applyFill="1" applyBorder="1"/>
    <xf numFmtId="0" fontId="1" fillId="0" borderId="0" xfId="5" applyBorder="1"/>
    <xf numFmtId="0" fontId="1" fillId="0" borderId="0" xfId="5" applyFont="1" applyBorder="1"/>
    <xf numFmtId="44" fontId="1" fillId="3" borderId="2" xfId="4" applyFill="1" applyBorder="1" applyAlignment="1" applyProtection="1">
      <alignment horizontal="left"/>
      <protection locked="0"/>
    </xf>
    <xf numFmtId="44" fontId="1" fillId="3" borderId="12" xfId="4" applyFill="1" applyBorder="1" applyAlignment="1" applyProtection="1">
      <alignment horizontal="left"/>
      <protection locked="0"/>
    </xf>
    <xf numFmtId="44" fontId="1" fillId="2" borderId="12" xfId="4" applyFill="1" applyBorder="1" applyAlignment="1">
      <alignment horizontal="left"/>
    </xf>
    <xf numFmtId="44" fontId="1" fillId="8" borderId="16" xfId="4" applyFill="1" applyBorder="1" applyAlignment="1">
      <alignment horizontal="left"/>
    </xf>
    <xf numFmtId="44" fontId="1" fillId="7" borderId="2" xfId="4" applyFont="1" applyFill="1" applyBorder="1" applyAlignment="1" applyProtection="1">
      <alignment horizontal="right"/>
      <protection locked="0"/>
    </xf>
    <xf numFmtId="14" fontId="1" fillId="7" borderId="2" xfId="4" applyNumberFormat="1" applyFont="1" applyFill="1" applyBorder="1" applyAlignment="1" applyProtection="1">
      <alignment horizontal="right"/>
      <protection locked="0"/>
    </xf>
    <xf numFmtId="44" fontId="1" fillId="12" borderId="2" xfId="4" applyFill="1" applyBorder="1" applyAlignment="1" applyProtection="1">
      <alignment horizontal="left"/>
    </xf>
    <xf numFmtId="0" fontId="16" fillId="3" borderId="2" xfId="0" applyFont="1" applyFill="1" applyBorder="1" applyAlignment="1">
      <alignment horizontal="center"/>
    </xf>
    <xf numFmtId="0" fontId="16" fillId="9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/>
    </xf>
    <xf numFmtId="0" fontId="16" fillId="9" borderId="20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10" borderId="22" xfId="0" applyFont="1" applyFill="1" applyBorder="1" applyAlignment="1">
      <alignment horizontal="center"/>
    </xf>
    <xf numFmtId="44" fontId="0" fillId="12" borderId="2" xfId="0" applyNumberFormat="1" applyFill="1" applyBorder="1" applyProtection="1"/>
    <xf numFmtId="0" fontId="0" fillId="9" borderId="2" xfId="0" applyFill="1" applyBorder="1" applyProtection="1"/>
    <xf numFmtId="44" fontId="1" fillId="9" borderId="2" xfId="4" applyFill="1" applyBorder="1" applyProtection="1"/>
    <xf numFmtId="0" fontId="14" fillId="8" borderId="9" xfId="0" applyFont="1" applyFill="1" applyBorder="1"/>
    <xf numFmtId="0" fontId="0" fillId="13" borderId="0" xfId="0" applyFill="1" applyBorder="1"/>
    <xf numFmtId="0" fontId="0" fillId="14" borderId="0" xfId="0" applyFill="1" applyBorder="1"/>
    <xf numFmtId="0" fontId="0" fillId="13" borderId="5" xfId="0" applyFill="1" applyBorder="1"/>
    <xf numFmtId="0" fontId="0" fillId="13" borderId="10" xfId="0" applyFill="1" applyBorder="1"/>
    <xf numFmtId="0" fontId="16" fillId="7" borderId="2" xfId="0" applyFont="1" applyFill="1" applyBorder="1" applyAlignment="1" applyProtection="1">
      <alignment horizontal="right" vertical="center"/>
      <protection locked="0"/>
    </xf>
    <xf numFmtId="0" fontId="1" fillId="7" borderId="2" xfId="0" applyFont="1" applyFill="1" applyBorder="1" applyAlignment="1" applyProtection="1">
      <alignment horizontal="right" vertical="center"/>
      <protection locked="0"/>
    </xf>
    <xf numFmtId="44" fontId="1" fillId="5" borderId="3" xfId="4" applyFill="1" applyBorder="1" applyAlignment="1">
      <alignment horizontal="left" vertical="center"/>
    </xf>
    <xf numFmtId="44" fontId="15" fillId="8" borderId="0" xfId="4" applyFont="1" applyFill="1" applyBorder="1" applyAlignment="1">
      <alignment horizontal="left" vertical="center"/>
    </xf>
    <xf numFmtId="9" fontId="0" fillId="0" borderId="0" xfId="3" applyFont="1" applyBorder="1" applyProtection="1"/>
    <xf numFmtId="9" fontId="3" fillId="0" borderId="0" xfId="3" applyFont="1" applyBorder="1" applyProtection="1"/>
    <xf numFmtId="9" fontId="3" fillId="0" borderId="0" xfId="3" applyFont="1" applyBorder="1" applyAlignment="1" applyProtection="1">
      <alignment horizontal="center"/>
    </xf>
    <xf numFmtId="0" fontId="16" fillId="0" borderId="0" xfId="0" applyFont="1" applyBorder="1"/>
    <xf numFmtId="44" fontId="16" fillId="7" borderId="2" xfId="4" applyFont="1" applyFill="1" applyBorder="1" applyAlignment="1" applyProtection="1">
      <alignment horizontal="left"/>
      <protection locked="0"/>
    </xf>
    <xf numFmtId="44" fontId="16" fillId="7" borderId="2" xfId="4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165" fontId="0" fillId="4" borderId="2" xfId="1" applyNumberFormat="1" applyFont="1" applyFill="1" applyBorder="1" applyProtection="1"/>
    <xf numFmtId="166" fontId="16" fillId="7" borderId="2" xfId="3" applyNumberFormat="1" applyFont="1" applyFill="1" applyBorder="1" applyAlignment="1" applyProtection="1">
      <alignment horizontal="right"/>
      <protection locked="0"/>
    </xf>
    <xf numFmtId="166" fontId="3" fillId="9" borderId="2" xfId="3" applyNumberFormat="1" applyFont="1" applyFill="1" applyBorder="1" applyProtection="1"/>
    <xf numFmtId="166" fontId="19" fillId="9" borderId="2" xfId="3" applyNumberFormat="1" applyFont="1" applyFill="1" applyBorder="1" applyProtection="1">
      <protection locked="0"/>
    </xf>
    <xf numFmtId="166" fontId="19" fillId="9" borderId="2" xfId="3" applyNumberFormat="1" applyFont="1" applyFill="1" applyBorder="1" applyProtection="1"/>
    <xf numFmtId="0" fontId="1" fillId="0" borderId="0" xfId="0" applyFont="1" applyProtection="1"/>
    <xf numFmtId="0" fontId="1" fillId="0" borderId="0" xfId="0" applyFont="1" applyFill="1" applyBorder="1" applyProtection="1"/>
    <xf numFmtId="44" fontId="1" fillId="8" borderId="0" xfId="4" applyFont="1" applyFill="1" applyBorder="1" applyProtection="1"/>
    <xf numFmtId="44" fontId="1" fillId="10" borderId="2" xfId="4" applyFont="1" applyFill="1" applyBorder="1" applyAlignment="1" applyProtection="1">
      <alignment horizontal="right"/>
    </xf>
    <xf numFmtId="44" fontId="1" fillId="10" borderId="2" xfId="0" applyNumberFormat="1" applyFont="1" applyFill="1" applyBorder="1" applyAlignment="1" applyProtection="1">
      <alignment horizontal="right"/>
    </xf>
    <xf numFmtId="44" fontId="1" fillId="10" borderId="2" xfId="4" applyFont="1" applyFill="1" applyBorder="1" applyProtection="1"/>
    <xf numFmtId="166" fontId="1" fillId="10" borderId="2" xfId="0" applyNumberFormat="1" applyFont="1" applyFill="1" applyBorder="1" applyAlignment="1" applyProtection="1">
      <alignment horizontal="right"/>
    </xf>
    <xf numFmtId="0" fontId="0" fillId="10" borderId="2" xfId="0" applyFill="1" applyBorder="1" applyProtection="1"/>
    <xf numFmtId="44" fontId="0" fillId="12" borderId="2" xfId="4" applyFont="1" applyFill="1" applyBorder="1" applyProtection="1"/>
    <xf numFmtId="44" fontId="1" fillId="10" borderId="15" xfId="4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11" fillId="0" borderId="0" xfId="0" applyFont="1" applyAlignment="1" applyProtection="1"/>
    <xf numFmtId="0" fontId="11" fillId="0" borderId="7" xfId="0" applyFont="1" applyBorder="1" applyAlignment="1" applyProtection="1"/>
    <xf numFmtId="0" fontId="3" fillId="0" borderId="0" xfId="0" applyFont="1" applyAlignment="1" applyProtection="1"/>
    <xf numFmtId="166" fontId="1" fillId="3" borderId="2" xfId="3" applyNumberFormat="1" applyFont="1" applyFill="1" applyBorder="1" applyAlignment="1" applyProtection="1">
      <alignment vertical="center"/>
      <protection locked="0"/>
    </xf>
    <xf numFmtId="0" fontId="1" fillId="0" borderId="0" xfId="5" applyProtection="1"/>
    <xf numFmtId="0" fontId="1" fillId="0" borderId="4" xfId="5" applyBorder="1" applyProtection="1"/>
    <xf numFmtId="0" fontId="15" fillId="0" borderId="5" xfId="5" applyFont="1" applyBorder="1" applyProtection="1">
      <protection hidden="1"/>
    </xf>
    <xf numFmtId="0" fontId="1" fillId="0" borderId="5" xfId="5" applyBorder="1" applyProtection="1"/>
    <xf numFmtId="0" fontId="1" fillId="6" borderId="5" xfId="5" applyFill="1" applyBorder="1" applyProtection="1"/>
    <xf numFmtId="0" fontId="1" fillId="8" borderId="18" xfId="5" applyFill="1" applyBorder="1" applyProtection="1"/>
    <xf numFmtId="0" fontId="1" fillId="0" borderId="8" xfId="5" applyBorder="1" applyProtection="1"/>
    <xf numFmtId="0" fontId="8" fillId="0" borderId="0" xfId="5" applyFont="1" applyBorder="1" applyAlignment="1" applyProtection="1">
      <alignment vertical="center"/>
    </xf>
    <xf numFmtId="0" fontId="1" fillId="0" borderId="0" xfId="5" applyBorder="1" applyProtection="1"/>
    <xf numFmtId="0" fontId="1" fillId="0" borderId="0" xfId="5" applyFill="1" applyBorder="1" applyProtection="1"/>
    <xf numFmtId="0" fontId="1" fillId="6" borderId="0" xfId="5" applyFill="1" applyBorder="1" applyProtection="1"/>
    <xf numFmtId="0" fontId="1" fillId="8" borderId="7" xfId="5" applyFill="1" applyBorder="1" applyProtection="1"/>
    <xf numFmtId="0" fontId="16" fillId="3" borderId="2" xfId="5" applyFont="1" applyFill="1" applyBorder="1" applyAlignment="1">
      <alignment horizontal="center"/>
    </xf>
    <xf numFmtId="0" fontId="16" fillId="9" borderId="2" xfId="5" applyFont="1" applyFill="1" applyBorder="1" applyAlignment="1">
      <alignment horizontal="center"/>
    </xf>
    <xf numFmtId="0" fontId="12" fillId="0" borderId="0" xfId="5" applyFont="1" applyBorder="1" applyProtection="1"/>
    <xf numFmtId="0" fontId="16" fillId="2" borderId="2" xfId="5" applyFont="1" applyFill="1" applyBorder="1" applyAlignment="1">
      <alignment horizontal="center"/>
    </xf>
    <xf numFmtId="0" fontId="16" fillId="10" borderId="2" xfId="5" applyFont="1" applyFill="1" applyBorder="1" applyAlignment="1">
      <alignment horizontal="center"/>
    </xf>
    <xf numFmtId="0" fontId="1" fillId="0" borderId="0" xfId="5" applyFont="1" applyBorder="1" applyProtection="1"/>
    <xf numFmtId="0" fontId="1" fillId="8" borderId="7" xfId="5" applyFont="1" applyFill="1" applyBorder="1" applyProtection="1"/>
    <xf numFmtId="10" fontId="1" fillId="2" borderId="2" xfId="5" applyNumberFormat="1" applyFill="1" applyBorder="1" applyProtection="1"/>
    <xf numFmtId="0" fontId="6" fillId="0" borderId="0" xfId="5" applyFont="1" applyBorder="1" applyProtection="1"/>
    <xf numFmtId="0" fontId="3" fillId="0" borderId="0" xfId="5" applyFont="1" applyBorder="1" applyProtection="1"/>
    <xf numFmtId="43" fontId="1" fillId="0" borderId="0" xfId="5" applyNumberFormat="1" applyBorder="1" applyProtection="1"/>
    <xf numFmtId="0" fontId="3" fillId="2" borderId="2" xfId="5" applyFont="1" applyFill="1" applyBorder="1" applyAlignment="1" applyProtection="1">
      <alignment horizontal="right"/>
    </xf>
    <xf numFmtId="0" fontId="7" fillId="0" borderId="0" xfId="5" applyFont="1" applyBorder="1" applyProtection="1"/>
    <xf numFmtId="0" fontId="11" fillId="0" borderId="0" xfId="5" applyFont="1" applyBorder="1" applyProtection="1"/>
    <xf numFmtId="0" fontId="1" fillId="0" borderId="0" xfId="5" quotePrefix="1" applyBorder="1" applyProtection="1"/>
    <xf numFmtId="44" fontId="1" fillId="12" borderId="2" xfId="5" applyNumberFormat="1" applyFill="1" applyBorder="1" applyProtection="1"/>
    <xf numFmtId="0" fontId="1" fillId="0" borderId="0" xfId="5" applyFont="1" applyFill="1" applyBorder="1" applyProtection="1"/>
    <xf numFmtId="0" fontId="3" fillId="0" borderId="0" xfId="5" applyFont="1" applyFill="1" applyBorder="1" applyProtection="1"/>
    <xf numFmtId="44" fontId="1" fillId="2" borderId="2" xfId="4" applyFont="1" applyFill="1" applyBorder="1" applyAlignment="1" applyProtection="1">
      <alignment horizontal="left"/>
    </xf>
    <xf numFmtId="0" fontId="1" fillId="4" borderId="2" xfId="5" applyFill="1" applyBorder="1" applyProtection="1"/>
    <xf numFmtId="0" fontId="3" fillId="8" borderId="0" xfId="5" applyFont="1" applyFill="1" applyBorder="1" applyProtection="1"/>
    <xf numFmtId="0" fontId="1" fillId="8" borderId="0" xfId="5" applyFill="1" applyBorder="1" applyProtection="1"/>
    <xf numFmtId="44" fontId="1" fillId="2" borderId="2" xfId="4" applyFont="1" applyFill="1" applyBorder="1" applyProtection="1"/>
    <xf numFmtId="0" fontId="1" fillId="0" borderId="0" xfId="5" quotePrefix="1" applyFont="1" applyBorder="1" applyProtection="1"/>
    <xf numFmtId="0" fontId="3" fillId="8" borderId="0" xfId="5" applyFont="1" applyFill="1" applyBorder="1" applyAlignment="1" applyProtection="1">
      <alignment horizontal="right"/>
    </xf>
    <xf numFmtId="0" fontId="1" fillId="6" borderId="0" xfId="5" applyFont="1" applyFill="1" applyBorder="1" applyProtection="1"/>
    <xf numFmtId="43" fontId="1" fillId="0" borderId="0" xfId="5" applyNumberFormat="1" applyFill="1" applyBorder="1" applyProtection="1"/>
    <xf numFmtId="0" fontId="1" fillId="9" borderId="2" xfId="5" applyFill="1" applyBorder="1" applyProtection="1"/>
    <xf numFmtId="0" fontId="14" fillId="8" borderId="9" xfId="5" applyFont="1" applyFill="1" applyBorder="1"/>
    <xf numFmtId="0" fontId="1" fillId="0" borderId="10" xfId="5" applyBorder="1" applyProtection="1"/>
    <xf numFmtId="0" fontId="14" fillId="0" borderId="10" xfId="5" applyFont="1" applyBorder="1" applyAlignment="1" applyProtection="1">
      <alignment horizontal="right"/>
    </xf>
    <xf numFmtId="0" fontId="1" fillId="8" borderId="11" xfId="5" applyFill="1" applyBorder="1" applyProtection="1"/>
    <xf numFmtId="0" fontId="1" fillId="8" borderId="0" xfId="5" applyFill="1" applyProtection="1"/>
    <xf numFmtId="8" fontId="0" fillId="0" borderId="0" xfId="0" applyNumberFormat="1" applyProtection="1"/>
    <xf numFmtId="44" fontId="0" fillId="0" borderId="0" xfId="0" applyNumberFormat="1" applyProtection="1"/>
    <xf numFmtId="0" fontId="1" fillId="0" borderId="0" xfId="0" applyFont="1" applyAlignment="1"/>
    <xf numFmtId="0" fontId="1" fillId="13" borderId="0" xfId="0" applyFont="1" applyFill="1" applyBorder="1"/>
    <xf numFmtId="44" fontId="1" fillId="9" borderId="2" xfId="4" applyFont="1" applyFill="1" applyBorder="1" applyProtection="1"/>
    <xf numFmtId="0" fontId="1" fillId="8" borderId="7" xfId="0" applyFont="1" applyFill="1" applyBorder="1" applyProtection="1"/>
    <xf numFmtId="44" fontId="1" fillId="12" borderId="2" xfId="4" applyFont="1" applyFill="1" applyBorder="1" applyProtection="1"/>
    <xf numFmtId="0" fontId="1" fillId="6" borderId="0" xfId="0" applyFont="1" applyFill="1" applyBorder="1" applyProtection="1"/>
    <xf numFmtId="0" fontId="10" fillId="0" borderId="0" xfId="2" applyFont="1" applyBorder="1" applyAlignment="1" applyProtection="1"/>
    <xf numFmtId="0" fontId="15" fillId="0" borderId="0" xfId="0" applyFont="1" applyFill="1" applyBorder="1" applyProtection="1"/>
    <xf numFmtId="44" fontId="1" fillId="10" borderId="2" xfId="4" applyFont="1" applyFill="1" applyBorder="1" applyAlignment="1" applyProtection="1"/>
    <xf numFmtId="44" fontId="1" fillId="10" borderId="15" xfId="4" applyFont="1" applyFill="1" applyBorder="1" applyAlignment="1" applyProtection="1"/>
    <xf numFmtId="44" fontId="0" fillId="0" borderId="0" xfId="4" applyFont="1"/>
    <xf numFmtId="44" fontId="0" fillId="0" borderId="0" xfId="0" applyNumberFormat="1"/>
    <xf numFmtId="0" fontId="0" fillId="0" borderId="0" xfId="0" applyAlignment="1">
      <alignment horizontal="center"/>
    </xf>
    <xf numFmtId="44" fontId="0" fillId="7" borderId="1" xfId="4" applyFont="1" applyFill="1" applyBorder="1"/>
    <xf numFmtId="0" fontId="0" fillId="10" borderId="2" xfId="0" applyFill="1" applyBorder="1" applyAlignment="1">
      <alignment horizontal="right"/>
    </xf>
    <xf numFmtId="44" fontId="0" fillId="10" borderId="2" xfId="0" applyNumberFormat="1" applyFill="1" applyBorder="1" applyAlignment="1">
      <alignment horizontal="right"/>
    </xf>
    <xf numFmtId="44" fontId="0" fillId="10" borderId="2" xfId="4" applyFont="1" applyFill="1" applyBorder="1" applyAlignment="1">
      <alignment horizontal="right"/>
    </xf>
    <xf numFmtId="0" fontId="0" fillId="0" borderId="0" xfId="0" applyAlignment="1"/>
    <xf numFmtId="166" fontId="1" fillId="10" borderId="2" xfId="3" applyNumberFormat="1" applyFont="1" applyFill="1" applyBorder="1" applyAlignment="1" applyProtection="1">
      <alignment horizontal="right"/>
    </xf>
    <xf numFmtId="44" fontId="0" fillId="10" borderId="1" xfId="4" applyFont="1" applyFill="1" applyBorder="1" applyAlignment="1">
      <alignment horizontal="right"/>
    </xf>
    <xf numFmtId="44" fontId="0" fillId="10" borderId="2" xfId="0" applyNumberFormat="1" applyFill="1" applyBorder="1"/>
    <xf numFmtId="166" fontId="0" fillId="10" borderId="2" xfId="3" applyNumberFormat="1" applyFont="1" applyFill="1" applyBorder="1"/>
    <xf numFmtId="10" fontId="0" fillId="10" borderId="2" xfId="3" applyNumberFormat="1" applyFont="1" applyFill="1" applyBorder="1"/>
    <xf numFmtId="44" fontId="0" fillId="0" borderId="0" xfId="4" applyFont="1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/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/>
    <xf numFmtId="44" fontId="0" fillId="0" borderId="0" xfId="4" applyFont="1" applyBorder="1" applyAlignment="1">
      <alignment horizontal="center"/>
    </xf>
    <xf numFmtId="0" fontId="0" fillId="0" borderId="7" xfId="0" applyBorder="1" applyProtection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10" fontId="0" fillId="0" borderId="0" xfId="3" applyNumberFormat="1" applyFont="1" applyFill="1" applyBorder="1"/>
    <xf numFmtId="0" fontId="1" fillId="0" borderId="5" xfId="0" applyFont="1" applyFill="1" applyBorder="1" applyProtection="1"/>
    <xf numFmtId="10" fontId="0" fillId="0" borderId="5" xfId="3" applyNumberFormat="1" applyFont="1" applyFill="1" applyBorder="1"/>
    <xf numFmtId="166" fontId="1" fillId="10" borderId="15" xfId="3" applyNumberFormat="1" applyFont="1" applyFill="1" applyBorder="1" applyAlignment="1" applyProtection="1"/>
    <xf numFmtId="166" fontId="0" fillId="0" borderId="0" xfId="3" applyNumberFormat="1" applyFont="1"/>
    <xf numFmtId="165" fontId="0" fillId="0" borderId="0" xfId="1" applyNumberFormat="1" applyFont="1"/>
    <xf numFmtId="0" fontId="1" fillId="0" borderId="0" xfId="0" applyFont="1" applyAlignment="1">
      <alignment horizontal="right"/>
    </xf>
    <xf numFmtId="8" fontId="0" fillId="0" borderId="0" xfId="4" applyNumberFormat="1" applyFont="1"/>
    <xf numFmtId="44" fontId="0" fillId="12" borderId="2" xfId="0" applyNumberFormat="1" applyFill="1" applyBorder="1"/>
    <xf numFmtId="166" fontId="0" fillId="12" borderId="2" xfId="3" applyNumberFormat="1" applyFont="1" applyFill="1" applyBorder="1"/>
    <xf numFmtId="44" fontId="0" fillId="10" borderId="2" xfId="4" applyFont="1" applyFill="1" applyBorder="1"/>
    <xf numFmtId="165" fontId="0" fillId="10" borderId="2" xfId="1" applyNumberFormat="1" applyFont="1" applyFill="1" applyBorder="1"/>
    <xf numFmtId="44" fontId="0" fillId="0" borderId="0" xfId="0" applyNumberFormat="1" applyFill="1" applyBorder="1"/>
    <xf numFmtId="166" fontId="0" fillId="0" borderId="0" xfId="3" applyNumberFormat="1" applyFont="1" applyFill="1" applyBorder="1"/>
    <xf numFmtId="44" fontId="0" fillId="0" borderId="0" xfId="4" applyFont="1" applyFill="1" applyBorder="1"/>
    <xf numFmtId="165" fontId="0" fillId="0" borderId="0" xfId="1" applyNumberFormat="1" applyFont="1" applyFill="1" applyBorder="1"/>
    <xf numFmtId="44" fontId="0" fillId="12" borderId="2" xfId="4" applyFont="1" applyFill="1" applyBorder="1"/>
    <xf numFmtId="0" fontId="0" fillId="10" borderId="2" xfId="0" applyFill="1" applyBorder="1"/>
    <xf numFmtId="10" fontId="0" fillId="12" borderId="2" xfId="3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0" fillId="0" borderId="0" xfId="0" applyNumberFormat="1" applyBorder="1"/>
    <xf numFmtId="0" fontId="5" fillId="0" borderId="17" xfId="0" applyFont="1" applyBorder="1" applyAlignment="1">
      <alignment horizontal="center"/>
    </xf>
    <xf numFmtId="9" fontId="0" fillId="0" borderId="0" xfId="0" applyNumberFormat="1" applyBorder="1"/>
    <xf numFmtId="0" fontId="0" fillId="0" borderId="7" xfId="0" applyFill="1" applyBorder="1"/>
    <xf numFmtId="0" fontId="14" fillId="8" borderId="8" xfId="0" applyFont="1" applyFill="1" applyBorder="1"/>
    <xf numFmtId="0" fontId="3" fillId="0" borderId="7" xfId="0" applyFont="1" applyBorder="1" applyAlignment="1"/>
    <xf numFmtId="166" fontId="0" fillId="9" borderId="2" xfId="3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44" fontId="0" fillId="12" borderId="12" xfId="4" applyFont="1" applyFill="1" applyBorder="1"/>
    <xf numFmtId="44" fontId="0" fillId="12" borderId="15" xfId="4" applyFont="1" applyFill="1" applyBorder="1"/>
    <xf numFmtId="44" fontId="0" fillId="0" borderId="10" xfId="4" applyFont="1" applyFill="1" applyBorder="1"/>
    <xf numFmtId="44" fontId="0" fillId="0" borderId="5" xfId="4" applyFont="1" applyFill="1" applyBorder="1"/>
    <xf numFmtId="166" fontId="0" fillId="12" borderId="15" xfId="3" applyNumberFormat="1" applyFont="1" applyFill="1" applyBorder="1"/>
    <xf numFmtId="44" fontId="1" fillId="0" borderId="0" xfId="0" applyNumberFormat="1" applyFont="1"/>
    <xf numFmtId="0" fontId="1" fillId="0" borderId="0" xfId="0" applyFont="1" applyBorder="1" applyAlignment="1">
      <alignment horizontal="right"/>
    </xf>
    <xf numFmtId="44" fontId="0" fillId="12" borderId="12" xfId="0" applyNumberFormat="1" applyFill="1" applyBorder="1"/>
    <xf numFmtId="44" fontId="0" fillId="0" borderId="16" xfId="0" applyNumberFormat="1" applyFill="1" applyBorder="1"/>
    <xf numFmtId="44" fontId="0" fillId="12" borderId="15" xfId="0" applyNumberFormat="1" applyFill="1" applyBorder="1"/>
    <xf numFmtId="44" fontId="0" fillId="0" borderId="5" xfId="0" applyNumberFormat="1" applyFill="1" applyBorder="1"/>
    <xf numFmtId="44" fontId="0" fillId="0" borderId="10" xfId="0" applyNumberFormat="1" applyFill="1" applyBorder="1"/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" fillId="7" borderId="2" xfId="0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7" fillId="11" borderId="2" xfId="0" applyFont="1" applyFill="1" applyBorder="1" applyAlignment="1">
      <alignment horizontal="center"/>
    </xf>
    <xf numFmtId="0" fontId="17" fillId="11" borderId="12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8" fillId="0" borderId="0" xfId="2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7" fillId="11" borderId="4" xfId="0" applyFont="1" applyFill="1" applyBorder="1" applyAlignment="1" applyProtection="1">
      <alignment horizontal="center"/>
    </xf>
    <xf numFmtId="0" fontId="17" fillId="11" borderId="5" xfId="0" applyFont="1" applyFill="1" applyBorder="1" applyAlignment="1" applyProtection="1">
      <alignment horizontal="center"/>
    </xf>
    <xf numFmtId="0" fontId="17" fillId="11" borderId="6" xfId="0" applyFont="1" applyFill="1" applyBorder="1" applyAlignment="1" applyProtection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7" xfId="5" applyFont="1" applyBorder="1" applyAlignment="1">
      <alignment horizontal="center" vertical="center"/>
    </xf>
    <xf numFmtId="0" fontId="3" fillId="0" borderId="16" xfId="5" applyFont="1" applyBorder="1" applyAlignment="1">
      <alignment horizontal="center" vertical="center"/>
    </xf>
    <xf numFmtId="0" fontId="3" fillId="0" borderId="18" xfId="5" applyFont="1" applyBorder="1" applyAlignment="1">
      <alignment horizontal="center" vertical="center"/>
    </xf>
    <xf numFmtId="0" fontId="3" fillId="8" borderId="17" xfId="5" applyFont="1" applyFill="1" applyBorder="1" applyAlignment="1" applyProtection="1">
      <alignment horizontal="center"/>
    </xf>
    <xf numFmtId="0" fontId="3" fillId="8" borderId="16" xfId="5" applyFont="1" applyFill="1" applyBorder="1" applyAlignment="1" applyProtection="1">
      <alignment horizontal="center"/>
    </xf>
    <xf numFmtId="0" fontId="3" fillId="8" borderId="18" xfId="5" applyFont="1" applyFill="1" applyBorder="1" applyAlignment="1" applyProtection="1">
      <alignment horizontal="center"/>
    </xf>
    <xf numFmtId="0" fontId="17" fillId="11" borderId="4" xfId="5" applyFont="1" applyFill="1" applyBorder="1" applyAlignment="1" applyProtection="1">
      <alignment horizontal="center"/>
    </xf>
    <xf numFmtId="0" fontId="17" fillId="11" borderId="5" xfId="5" applyFont="1" applyFill="1" applyBorder="1" applyAlignment="1" applyProtection="1">
      <alignment horizontal="center"/>
    </xf>
    <xf numFmtId="0" fontId="17" fillId="11" borderId="6" xfId="5" applyFont="1" applyFill="1" applyBorder="1" applyAlignment="1" applyProtection="1">
      <alignment horizontal="center"/>
    </xf>
    <xf numFmtId="0" fontId="11" fillId="0" borderId="10" xfId="5" applyFont="1" applyBorder="1" applyAlignment="1">
      <alignment horizontal="center" vertical="center"/>
    </xf>
  </cellXfs>
  <cellStyles count="6">
    <cellStyle name="Comma" xfId="1" builtinId="3"/>
    <cellStyle name="Currency" xfId="4" builtinId="4"/>
    <cellStyle name="Hyperlink" xfId="2" builtinId="8"/>
    <cellStyle name="Normal" xfId="0" builtinId="0"/>
    <cellStyle name="Normal 2" xfId="5" xr:uid="{00000000-0005-0000-0000-000004000000}"/>
    <cellStyle name="Percent" xfId="3" builtinId="5"/>
  </cellStyles>
  <dxfs count="54">
    <dxf>
      <font>
        <color theme="0"/>
      </font>
      <fill>
        <patternFill>
          <bgColor theme="0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</border>
    </dxf>
    <dxf>
      <font>
        <b val="0"/>
        <i/>
      </font>
    </dxf>
    <dxf>
      <font>
        <b/>
        <i val="0"/>
        <color theme="5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b val="0"/>
        <i/>
      </font>
    </dxf>
    <dxf>
      <font>
        <color theme="0"/>
      </font>
      <fill>
        <patternFill>
          <bgColor theme="0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 style="thin">
          <color auto="1"/>
        </top>
        <bottom/>
        <vertical/>
        <horizontal/>
      </border>
    </dxf>
  </dxfs>
  <tableStyles count="0" defaultTableStyle="TableStyleMedium9" defaultPivotStyle="PivotStyleLight16"/>
  <colors>
    <mruColors>
      <color rgb="FFCCFFFF"/>
      <color rgb="FFCCFFCC"/>
      <color rgb="FFFFFF99"/>
      <color rgb="FFCC99FF"/>
      <color rgb="FF0000FF"/>
      <color rgb="FFCCECFF"/>
      <color rgb="FFA7A7A7"/>
      <color rgb="FFFFFF66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ebella\AppData\Local\Microsoft\Windows\Temporary%20Internet%20Files\Content.Outlook\X54QRG82\Waterfall%20Worksheet%20-%20HAMP%20&amp;%20GSE%20Standard%20Modificat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yfs2\Documents%20and%20Settings\nwoods\Local%20Settings\Temporary%20Internet%20Files\OLK141\HAMP%20Waterfall%20Work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Flex Mod"/>
      <sheetName val="Standard"/>
      <sheetName val="Calculations"/>
      <sheetName val="Data Validation"/>
      <sheetName val="2MP"/>
    </sheetNames>
    <sheetDataSet>
      <sheetData sheetId="0">
        <row r="6">
          <cell r="N6" t="str">
            <v>Ocwen</v>
          </cell>
        </row>
      </sheetData>
      <sheetData sheetId="1">
        <row r="14">
          <cell r="E14">
            <v>300</v>
          </cell>
        </row>
      </sheetData>
      <sheetData sheetId="2"/>
      <sheetData sheetId="3"/>
      <sheetData sheetId="4">
        <row r="15">
          <cell r="J15" t="str">
            <v>Worksheet HAMP</v>
          </cell>
          <cell r="K15" t="str">
            <v>Worksheet Std. Mod.</v>
          </cell>
          <cell r="L15" t="str">
            <v>Custom</v>
          </cell>
        </row>
        <row r="16">
          <cell r="I16" t="str">
            <v>Initial P&amp;I Payment</v>
          </cell>
          <cell r="J16">
            <v>179.55169957078758</v>
          </cell>
          <cell r="K16">
            <v>242.2115997995937</v>
          </cell>
          <cell r="L16">
            <v>411.13195323341853</v>
          </cell>
        </row>
        <row r="17">
          <cell r="I17" t="str">
            <v>Principal Balance</v>
          </cell>
          <cell r="J17">
            <v>95790.314353250869</v>
          </cell>
          <cell r="K17">
            <v>95790.314353250869</v>
          </cell>
          <cell r="L17">
            <v>95790.314353250869</v>
          </cell>
        </row>
        <row r="18">
          <cell r="I18" t="str">
            <v>Principal Forbearance</v>
          </cell>
          <cell r="J18">
            <v>24780.859154668546</v>
          </cell>
          <cell r="K18">
            <v>0</v>
          </cell>
          <cell r="L18">
            <v>2708.7319649292021</v>
          </cell>
        </row>
        <row r="19">
          <cell r="I19" t="str">
            <v>Initial Rate</v>
          </cell>
          <cell r="J19">
            <v>0.01</v>
          </cell>
          <cell r="K19">
            <v>0.01</v>
          </cell>
          <cell r="L19">
            <v>0.01</v>
          </cell>
        </row>
        <row r="20">
          <cell r="I20" t="str">
            <v>Term</v>
          </cell>
          <cell r="J20">
            <v>480</v>
          </cell>
          <cell r="K20">
            <v>480</v>
          </cell>
          <cell r="L20">
            <v>251</v>
          </cell>
        </row>
        <row r="21">
          <cell r="I21" t="str">
            <v>Step 2 Rate</v>
          </cell>
          <cell r="J21">
            <v>0.03</v>
          </cell>
          <cell r="K21">
            <v>0.04</v>
          </cell>
          <cell r="L21">
            <v>0.03</v>
          </cell>
        </row>
        <row r="22">
          <cell r="I22" t="str">
            <v>Step 3 Rate</v>
          </cell>
          <cell r="J22">
            <v>0.04</v>
          </cell>
          <cell r="L22">
            <v>3.7499999999999999E-2</v>
          </cell>
        </row>
        <row r="23">
          <cell r="I23" t="str">
            <v>Step 4 Rate</v>
          </cell>
          <cell r="J23">
            <v>0</v>
          </cell>
          <cell r="L23">
            <v>0</v>
          </cell>
        </row>
        <row r="24">
          <cell r="I24" t="str">
            <v>Step 5 Rate</v>
          </cell>
          <cell r="J24">
            <v>0</v>
          </cell>
          <cell r="L24">
            <v>0</v>
          </cell>
        </row>
        <row r="25">
          <cell r="I25" t="str">
            <v>Step 2 PMT</v>
          </cell>
          <cell r="J25">
            <v>244.78925409362287</v>
          </cell>
          <cell r="K25">
            <v>379.91715053402083</v>
          </cell>
          <cell r="L25">
            <v>478.30283472945007</v>
          </cell>
        </row>
        <row r="26">
          <cell r="I26" t="str">
            <v>Step 3 PMT</v>
          </cell>
          <cell r="J26">
            <v>280.22298090016625</v>
          </cell>
          <cell r="L26">
            <v>496.09347454255573</v>
          </cell>
        </row>
        <row r="27">
          <cell r="I27" t="str">
            <v>Step 4 PMT</v>
          </cell>
          <cell r="J27">
            <v>0</v>
          </cell>
          <cell r="L27">
            <v>0</v>
          </cell>
        </row>
        <row r="28">
          <cell r="I28" t="str">
            <v>Step 5 PMT</v>
          </cell>
          <cell r="J28">
            <v>0</v>
          </cell>
          <cell r="L28">
            <v>0</v>
          </cell>
        </row>
        <row r="29">
          <cell r="I29" t="str">
            <v>Step 2 AUPB</v>
          </cell>
          <cell r="J29">
            <v>63606.374763979649</v>
          </cell>
          <cell r="K29">
            <v>85803.709047945711</v>
          </cell>
          <cell r="L29">
            <v>72567.715668211546</v>
          </cell>
        </row>
        <row r="30">
          <cell r="I30" t="str">
            <v>Step 3 AUPB</v>
          </cell>
          <cell r="J30">
            <v>62441.365929268766</v>
          </cell>
          <cell r="L30">
            <v>67934.655833890763</v>
          </cell>
        </row>
        <row r="31">
          <cell r="I31" t="str">
            <v>Step 4 AUPB</v>
          </cell>
          <cell r="J31">
            <v>0</v>
          </cell>
          <cell r="L31">
            <v>0</v>
          </cell>
        </row>
        <row r="32">
          <cell r="I32" t="str">
            <v>Step 5 AUPB</v>
          </cell>
          <cell r="J32">
            <v>0</v>
          </cell>
          <cell r="L32">
            <v>0</v>
          </cell>
        </row>
      </sheetData>
      <sheetData sheetId="5">
        <row r="17">
          <cell r="E17" t="str">
            <v>Bank of America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HAMP Tier 1"/>
      <sheetName val="HAMP Tier 2"/>
      <sheetName val="Mod Terms"/>
      <sheetName val="Data Validation"/>
      <sheetName val="Waterfall Explanation"/>
      <sheetName val="Check for Balloon"/>
      <sheetName val="HAMP Amortization Schedule"/>
    </sheetNames>
    <sheetDataSet>
      <sheetData sheetId="0" refreshError="1"/>
      <sheetData sheetId="1" refreshError="1"/>
      <sheetData sheetId="2">
        <row r="7">
          <cell r="D7">
            <v>40</v>
          </cell>
        </row>
      </sheetData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66"/>
    <pageSetUpPr autoPageBreaks="0"/>
  </sheetPr>
  <dimension ref="A1:AA53"/>
  <sheetViews>
    <sheetView showGridLines="0" tabSelected="1" zoomScaleNormal="100" workbookViewId="0">
      <selection activeCell="N29" sqref="N29"/>
    </sheetView>
  </sheetViews>
  <sheetFormatPr defaultRowHeight="12.5" x14ac:dyDescent="0.25"/>
  <cols>
    <col min="1" max="1" width="3" customWidth="1"/>
    <col min="2" max="2" width="3.81640625" customWidth="1"/>
    <col min="3" max="3" width="7" customWidth="1"/>
    <col min="4" max="4" width="9.1796875" customWidth="1"/>
    <col min="5" max="6" width="15" customWidth="1"/>
    <col min="7" max="7" width="5.1796875" customWidth="1"/>
    <col min="8" max="8" width="10.26953125" customWidth="1"/>
    <col min="9" max="9" width="5.26953125" customWidth="1"/>
    <col min="10" max="10" width="6.54296875" customWidth="1"/>
    <col min="11" max="11" width="10.54296875" customWidth="1"/>
    <col min="12" max="12" width="9.7265625" customWidth="1"/>
    <col min="13" max="13" width="20.453125" customWidth="1"/>
    <col min="14" max="14" width="19.54296875" customWidth="1"/>
    <col min="15" max="15" width="3.7265625" customWidth="1"/>
    <col min="16" max="16" width="3" customWidth="1"/>
    <col min="17" max="17" width="12.7265625" customWidth="1"/>
    <col min="18" max="18" width="11.26953125" bestFit="1" customWidth="1"/>
  </cols>
  <sheetData>
    <row r="1" spans="1:27" ht="17.5" x14ac:dyDescent="0.35">
      <c r="A1" s="286" t="s">
        <v>0</v>
      </c>
      <c r="B1" s="286"/>
      <c r="C1" s="286"/>
      <c r="D1" s="286"/>
      <c r="E1" s="286"/>
      <c r="F1" s="286"/>
      <c r="G1" s="286"/>
      <c r="H1" s="286"/>
      <c r="I1" s="287"/>
      <c r="J1" s="286"/>
      <c r="K1" s="286"/>
      <c r="L1" s="286"/>
      <c r="M1" s="286"/>
      <c r="N1" s="286"/>
      <c r="O1" s="286"/>
      <c r="P1" s="286"/>
    </row>
    <row r="2" spans="1:27" ht="12.75" customHeight="1" x14ac:dyDescent="0.25">
      <c r="A2" s="5"/>
      <c r="B2" s="78"/>
      <c r="C2" s="6"/>
      <c r="D2" s="6"/>
      <c r="E2" s="6"/>
      <c r="F2" s="6"/>
      <c r="G2" s="6"/>
      <c r="H2" s="6"/>
      <c r="I2" s="118"/>
      <c r="J2" s="6"/>
      <c r="K2" s="6"/>
      <c r="L2" s="6"/>
      <c r="M2" s="6"/>
      <c r="N2" s="6"/>
      <c r="O2" s="6"/>
      <c r="P2" s="8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.75" customHeight="1" thickBot="1" x14ac:dyDescent="0.4">
      <c r="A3" s="7"/>
      <c r="B3" s="69"/>
      <c r="C3" s="1"/>
      <c r="D3" s="1"/>
      <c r="E3" s="288" t="s">
        <v>1</v>
      </c>
      <c r="F3" s="288"/>
      <c r="G3" s="1"/>
      <c r="H3" s="1"/>
      <c r="I3" s="116"/>
      <c r="J3" s="1"/>
      <c r="K3" s="283" t="s">
        <v>2</v>
      </c>
      <c r="L3" s="284"/>
      <c r="M3" s="284"/>
      <c r="N3" s="284"/>
      <c r="O3" s="1"/>
      <c r="P3" s="84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.75" customHeight="1" x14ac:dyDescent="0.25">
      <c r="A4" s="7"/>
      <c r="B4" s="1"/>
      <c r="C4" s="1"/>
      <c r="D4" s="1"/>
      <c r="E4" s="108" t="s">
        <v>3</v>
      </c>
      <c r="F4" s="109" t="s">
        <v>4</v>
      </c>
      <c r="G4" s="1"/>
      <c r="H4" s="1"/>
      <c r="I4" s="116"/>
      <c r="J4" s="1"/>
      <c r="K4" s="1"/>
      <c r="L4" s="1"/>
      <c r="M4" s="1"/>
      <c r="N4" s="1"/>
      <c r="O4" s="1"/>
      <c r="P4" s="84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 customHeight="1" thickBot="1" x14ac:dyDescent="0.35">
      <c r="A5" s="7"/>
      <c r="B5" s="1"/>
      <c r="C5" s="1"/>
      <c r="D5" s="1"/>
      <c r="E5" s="110" t="s">
        <v>5</v>
      </c>
      <c r="F5" s="111" t="s">
        <v>6</v>
      </c>
      <c r="G5" s="1"/>
      <c r="H5" s="1"/>
      <c r="I5" s="116"/>
      <c r="J5" s="1"/>
      <c r="K5" s="69" t="s">
        <v>7</v>
      </c>
      <c r="L5" s="1"/>
      <c r="M5" s="1"/>
      <c r="N5" s="121" t="s">
        <v>163</v>
      </c>
      <c r="O5" s="14"/>
      <c r="P5" s="84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2.75" customHeight="1" x14ac:dyDescent="0.35">
      <c r="A6" s="7"/>
      <c r="B6" s="21"/>
      <c r="C6" s="231"/>
      <c r="D6" s="231"/>
      <c r="E6" s="231"/>
      <c r="F6" s="231"/>
      <c r="G6" s="1"/>
      <c r="H6" s="1"/>
      <c r="I6" s="116"/>
      <c r="J6" s="1"/>
      <c r="K6" s="289" t="str">
        <f>IF(Owner=3,"",IF(Owner=1,HYPERLINK("https://servicing-guide.fanniemae.com/THE-SERVICING-GUIDE/SVC-Guide-Exhibits/1306306821/Fannie-Mae-Modification-Interest-Rate-Exhibit-03-13-2020.htm","Fannie Mae Mod Rate"),IF(Owner=2,HYPERLINK("https://sf.freddiemac.com/general/freddie-mac-modification-interest-rate","Freddie Mac Mod Rate"),0)))</f>
        <v>Fannie Mae Mod Rate</v>
      </c>
      <c r="L6" s="289"/>
      <c r="M6" s="289"/>
      <c r="N6" s="152">
        <v>3.125E-2</v>
      </c>
      <c r="O6" s="4"/>
      <c r="P6" s="84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 customHeight="1" x14ac:dyDescent="0.3">
      <c r="A7" s="285" t="s">
        <v>8</v>
      </c>
      <c r="B7" s="283"/>
      <c r="C7" s="283"/>
      <c r="D7" s="283"/>
      <c r="E7" s="283"/>
      <c r="F7" s="283"/>
      <c r="G7" s="1"/>
      <c r="H7" s="1"/>
      <c r="I7" s="116"/>
      <c r="J7" s="1"/>
      <c r="K7" s="69" t="s">
        <v>10</v>
      </c>
      <c r="L7" s="1"/>
      <c r="M7" s="1"/>
      <c r="N7" s="32">
        <v>250000</v>
      </c>
      <c r="O7" s="14"/>
      <c r="P7" s="84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 customHeight="1" x14ac:dyDescent="0.3">
      <c r="A8" s="7"/>
      <c r="B8" s="1"/>
      <c r="C8" s="1"/>
      <c r="D8" s="1"/>
      <c r="E8" s="1"/>
      <c r="F8" s="1"/>
      <c r="G8" s="1"/>
      <c r="H8" s="1"/>
      <c r="I8" s="116"/>
      <c r="J8" s="1"/>
      <c r="K8" s="69"/>
      <c r="L8" s="1"/>
      <c r="M8" s="1"/>
      <c r="N8" s="14"/>
      <c r="O8" s="14"/>
      <c r="P8" s="84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 customHeight="1" x14ac:dyDescent="0.3">
      <c r="A9" s="7"/>
      <c r="B9" s="2" t="s">
        <v>14</v>
      </c>
      <c r="C9" s="1"/>
      <c r="D9" s="1"/>
      <c r="E9" s="1"/>
      <c r="F9" s="28"/>
      <c r="G9" s="1"/>
      <c r="H9" s="1"/>
      <c r="I9" s="116"/>
      <c r="J9" s="281" t="s">
        <v>9</v>
      </c>
      <c r="K9" s="281"/>
      <c r="L9" s="281"/>
      <c r="M9" s="281"/>
      <c r="N9" s="281"/>
      <c r="O9" s="281"/>
      <c r="P9" s="282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 customHeight="1" x14ac:dyDescent="0.3">
      <c r="A10" s="7"/>
      <c r="B10" s="96" t="s">
        <v>17</v>
      </c>
      <c r="C10" s="95"/>
      <c r="D10" s="95"/>
      <c r="E10" s="95"/>
      <c r="F10" s="101" t="s">
        <v>18</v>
      </c>
      <c r="G10" s="1"/>
      <c r="H10" s="1"/>
      <c r="I10" s="116"/>
      <c r="J10" s="278"/>
      <c r="K10" s="68" t="s">
        <v>165</v>
      </c>
      <c r="L10" s="278"/>
      <c r="M10" s="278"/>
      <c r="N10" s="280" t="s">
        <v>166</v>
      </c>
      <c r="O10" s="278"/>
      <c r="P10" s="279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 customHeight="1" x14ac:dyDescent="0.3">
      <c r="A11" s="7"/>
      <c r="B11" s="96" t="str">
        <f>IF($F$10="YTD","Enter Date of YTD","")</f>
        <v/>
      </c>
      <c r="C11" s="95"/>
      <c r="D11" s="95"/>
      <c r="E11" s="95"/>
      <c r="F11" s="102">
        <v>42776</v>
      </c>
      <c r="G11" s="1"/>
      <c r="H11" s="1"/>
      <c r="I11" s="116"/>
      <c r="J11" s="1"/>
      <c r="K11" s="69" t="s">
        <v>13</v>
      </c>
      <c r="L11" s="1"/>
      <c r="M11" s="1"/>
      <c r="N11" s="19">
        <v>3.875E-2</v>
      </c>
      <c r="O11" s="14"/>
      <c r="P11" s="84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 customHeight="1" x14ac:dyDescent="0.3">
      <c r="A12" s="7"/>
      <c r="B12" s="95" t="s">
        <v>20</v>
      </c>
      <c r="C12" s="95"/>
      <c r="D12" s="95"/>
      <c r="E12" s="95"/>
      <c r="F12" s="98">
        <v>0</v>
      </c>
      <c r="G12" s="1"/>
      <c r="H12" s="1"/>
      <c r="I12" s="116"/>
      <c r="J12" s="1"/>
      <c r="K12" s="69" t="s">
        <v>15</v>
      </c>
      <c r="L12" s="1"/>
      <c r="M12" s="1"/>
      <c r="N12" s="120" t="s">
        <v>16</v>
      </c>
      <c r="O12" s="14"/>
      <c r="P12" s="84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.75" customHeight="1" x14ac:dyDescent="0.3">
      <c r="A13" s="7"/>
      <c r="B13" s="96" t="s">
        <v>21</v>
      </c>
      <c r="C13" s="95"/>
      <c r="D13" s="95"/>
      <c r="E13" s="95"/>
      <c r="F13" s="103">
        <f>IF(F10="weekly",F12*52/12,IF(F10="biweekly",F12*26/12,IF(F10="bimonthly",F12*2,IF(F10="annual",F12/12,IF(F10="ytd",F12/DAYS360(DATE(YEAR(F11),1,1),F11)*30,IF(F10="monthly",F12,0))))))</f>
        <v>0</v>
      </c>
      <c r="G13" s="1"/>
      <c r="H13" s="1"/>
      <c r="I13" s="116"/>
      <c r="J13" s="1"/>
      <c r="K13" s="127" t="str">
        <f>IF(OR(NOT(N12="Fixed Rate"),N10="Mortgage Statement"),"Monthly P&amp;I Payment","")</f>
        <v>Monthly P&amp;I Payment</v>
      </c>
      <c r="L13" s="127"/>
      <c r="M13" s="127"/>
      <c r="N13" s="129">
        <f>613.19</f>
        <v>613.19000000000005</v>
      </c>
      <c r="O13" s="14"/>
      <c r="P13" s="84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 customHeight="1" x14ac:dyDescent="0.3">
      <c r="A14" s="7"/>
      <c r="B14" s="94" t="s">
        <v>22</v>
      </c>
      <c r="C14" s="1"/>
      <c r="D14" s="1"/>
      <c r="E14" s="1"/>
      <c r="F14" s="97">
        <v>0</v>
      </c>
      <c r="G14" s="1"/>
      <c r="H14" s="1"/>
      <c r="I14" s="116"/>
      <c r="J14" s="1"/>
      <c r="K14" s="127" t="str">
        <f>VLOOKUP(RateType,RateTable,2,FALSE)</f>
        <v/>
      </c>
      <c r="L14" s="127"/>
      <c r="M14" s="127"/>
      <c r="N14" s="132">
        <v>0.13</v>
      </c>
      <c r="O14" s="14"/>
      <c r="P14" s="84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 customHeight="1" x14ac:dyDescent="0.3">
      <c r="A15" s="7"/>
      <c r="B15" s="69" t="s">
        <v>24</v>
      </c>
      <c r="C15" s="2"/>
      <c r="D15" s="2"/>
      <c r="E15" s="2"/>
      <c r="F15" s="97">
        <v>0</v>
      </c>
      <c r="G15" s="1"/>
      <c r="H15" s="1"/>
      <c r="I15" s="116"/>
      <c r="J15" s="1"/>
      <c r="K15" s="69" t="s">
        <v>11</v>
      </c>
      <c r="L15" s="1"/>
      <c r="M15" s="1"/>
      <c r="N15" s="29">
        <v>175975.24</v>
      </c>
      <c r="O15" s="14"/>
      <c r="P15" s="84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.75" customHeight="1" x14ac:dyDescent="0.25">
      <c r="A16" s="7"/>
      <c r="B16" s="94" t="s">
        <v>26</v>
      </c>
      <c r="C16" s="1"/>
      <c r="D16" s="1"/>
      <c r="E16" s="1"/>
      <c r="F16" s="97">
        <v>1300</v>
      </c>
      <c r="G16" s="1"/>
      <c r="H16" s="1"/>
      <c r="I16" s="116"/>
      <c r="J16" s="1"/>
      <c r="K16" s="69" t="s">
        <v>12</v>
      </c>
      <c r="L16" s="1"/>
      <c r="M16" s="1"/>
      <c r="N16" s="22">
        <v>480</v>
      </c>
      <c r="O16" s="4"/>
      <c r="P16" s="84"/>
      <c r="Q16" s="80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2.75" customHeight="1" x14ac:dyDescent="0.25">
      <c r="A17" s="7"/>
      <c r="B17" s="1"/>
      <c r="C17" s="1"/>
      <c r="D17" s="1"/>
      <c r="E17" s="1"/>
      <c r="F17" s="25">
        <f>F16*1.25</f>
        <v>1625</v>
      </c>
      <c r="G17" s="69" t="s">
        <v>28</v>
      </c>
      <c r="H17" s="1"/>
      <c r="I17" s="116"/>
      <c r="J17" s="1"/>
      <c r="K17" s="69" t="s">
        <v>19</v>
      </c>
      <c r="L17" s="1"/>
      <c r="M17" s="1"/>
      <c r="N17" s="17">
        <v>42036</v>
      </c>
      <c r="O17" s="4"/>
      <c r="P17" s="84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2.75" customHeight="1" x14ac:dyDescent="0.25">
      <c r="A18" s="7"/>
      <c r="B18" s="1" t="s">
        <v>30</v>
      </c>
      <c r="C18" s="1"/>
      <c r="D18" s="1"/>
      <c r="E18" s="1"/>
      <c r="F18" s="26"/>
      <c r="G18" s="1"/>
      <c r="H18" s="1"/>
      <c r="I18" s="116"/>
      <c r="J18" s="1"/>
      <c r="K18" s="127" t="s">
        <v>167</v>
      </c>
      <c r="L18" s="127"/>
      <c r="M18" s="127"/>
      <c r="N18" s="128">
        <v>0</v>
      </c>
      <c r="O18" s="4"/>
      <c r="P18" s="84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2.75" customHeight="1" x14ac:dyDescent="0.25">
      <c r="A19" s="7"/>
      <c r="B19" s="1"/>
      <c r="C19" s="69" t="s">
        <v>32</v>
      </c>
      <c r="D19" s="69"/>
      <c r="E19" s="1"/>
      <c r="F19" s="70"/>
      <c r="G19" s="1"/>
      <c r="H19" s="1"/>
      <c r="I19" s="116"/>
      <c r="J19" s="1"/>
      <c r="K19" s="69" t="s">
        <v>23</v>
      </c>
      <c r="L19" s="1"/>
      <c r="M19" s="1"/>
      <c r="N19" s="97">
        <v>0</v>
      </c>
      <c r="O19" s="1"/>
      <c r="P19" s="84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2.75" customHeight="1" x14ac:dyDescent="0.25">
      <c r="A20" s="7"/>
      <c r="B20" s="1"/>
      <c r="C20" s="1"/>
      <c r="D20" s="1"/>
      <c r="E20" s="1"/>
      <c r="F20" s="25">
        <f>F19*0.75</f>
        <v>0</v>
      </c>
      <c r="G20" s="69" t="s">
        <v>33</v>
      </c>
      <c r="H20" s="1"/>
      <c r="I20" s="116"/>
      <c r="J20" s="1"/>
      <c r="K20" s="69" t="s">
        <v>25</v>
      </c>
      <c r="L20" s="1"/>
      <c r="M20" s="1"/>
      <c r="N20" s="97">
        <v>0</v>
      </c>
      <c r="O20" s="4"/>
      <c r="P20" s="84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.75" customHeight="1" x14ac:dyDescent="0.25">
      <c r="A21" s="7"/>
      <c r="B21" s="1"/>
      <c r="C21" s="94" t="s">
        <v>34</v>
      </c>
      <c r="D21" s="94"/>
      <c r="E21" s="1"/>
      <c r="F21" s="97">
        <v>0</v>
      </c>
      <c r="G21" s="1"/>
      <c r="H21" s="1"/>
      <c r="I21" s="116"/>
      <c r="J21" s="1"/>
      <c r="K21" s="69" t="s">
        <v>27</v>
      </c>
      <c r="L21" s="1"/>
      <c r="M21" s="1"/>
      <c r="N21" s="97">
        <v>0</v>
      </c>
      <c r="O21" s="4"/>
      <c r="P21" s="84"/>
      <c r="Q21" s="79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.75" customHeight="1" x14ac:dyDescent="0.3">
      <c r="A22" s="7"/>
      <c r="B22" s="1"/>
      <c r="C22" s="1"/>
      <c r="D22" s="1"/>
      <c r="E22" s="1"/>
      <c r="F22" s="25">
        <f>F21*0.75</f>
        <v>0</v>
      </c>
      <c r="G22" s="69" t="s">
        <v>33</v>
      </c>
      <c r="H22" s="1"/>
      <c r="I22" s="116"/>
      <c r="J22" s="1"/>
      <c r="K22" s="281" t="s">
        <v>29</v>
      </c>
      <c r="L22" s="281"/>
      <c r="M22" s="281"/>
      <c r="N22" s="281"/>
      <c r="O22" s="10"/>
      <c r="P22" s="84"/>
      <c r="Q22" s="79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.75" customHeight="1" x14ac:dyDescent="0.3">
      <c r="A23" s="7"/>
      <c r="B23" s="1"/>
      <c r="C23" s="1"/>
      <c r="D23" s="1"/>
      <c r="E23" s="68" t="str">
        <f>IF(F21&gt;0,"PITIA on Rental","")</f>
        <v/>
      </c>
      <c r="F23" s="97">
        <v>0</v>
      </c>
      <c r="G23" s="1"/>
      <c r="H23" s="1"/>
      <c r="I23" s="116"/>
      <c r="J23" s="1"/>
      <c r="K23" s="69" t="s">
        <v>31</v>
      </c>
      <c r="L23" s="1"/>
      <c r="M23" s="1"/>
      <c r="N23" s="31" t="s">
        <v>164</v>
      </c>
      <c r="O23" s="10"/>
      <c r="P23" s="84"/>
      <c r="Q23" s="80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2.75" customHeight="1" x14ac:dyDescent="0.3">
      <c r="A24" s="7"/>
      <c r="B24" s="1"/>
      <c r="C24" s="1"/>
      <c r="D24" s="1"/>
      <c r="E24" s="1"/>
      <c r="F24" s="25">
        <f>F22-F23</f>
        <v>0</v>
      </c>
      <c r="G24" s="69" t="str">
        <f>IF(F23&gt;0,"Reduced by PITIA","")</f>
        <v/>
      </c>
      <c r="H24" s="1"/>
      <c r="I24" s="116"/>
      <c r="J24" s="1"/>
      <c r="K24" s="228" t="str">
        <f>IF(infotype=1,IF(N12="Other","Cannot Calculate Using Default Date Only","Estimate Arrears and UPB at Default:"),IF(N18&gt;0,"Enter Interest Bearing UPB at Default:","Enter UPB at Default:"))</f>
        <v>Enter UPB at Default:</v>
      </c>
      <c r="L24" s="1"/>
      <c r="M24" s="1"/>
      <c r="N24" s="32">
        <v>112920.66</v>
      </c>
      <c r="O24" s="10"/>
      <c r="P24" s="84"/>
      <c r="Q24" s="79"/>
      <c r="R24" s="79"/>
      <c r="S24" s="3"/>
      <c r="T24" s="3"/>
      <c r="U24" s="3"/>
      <c r="V24" s="3"/>
      <c r="W24" s="3"/>
      <c r="X24" s="3"/>
      <c r="Y24" s="3"/>
      <c r="Z24" s="3"/>
      <c r="AA24" s="3"/>
    </row>
    <row r="25" spans="1:27" ht="12.75" customHeight="1" x14ac:dyDescent="0.3">
      <c r="A25" s="7"/>
      <c r="B25" s="1"/>
      <c r="C25" s="1"/>
      <c r="D25" s="1"/>
      <c r="E25" s="1"/>
      <c r="F25" s="26"/>
      <c r="G25" s="1"/>
      <c r="H25" s="8"/>
      <c r="I25" s="116"/>
      <c r="J25" s="1"/>
      <c r="K25" s="228" t="str">
        <f>IF(infotype=2,"Estimate Arrears:",IF(infotype=3,"Enter Amount of Arrears:",""))</f>
        <v>Estimate Arrears:</v>
      </c>
      <c r="L25" s="1"/>
      <c r="M25" s="1"/>
      <c r="N25" s="32">
        <v>83374.41</v>
      </c>
      <c r="O25" s="10"/>
      <c r="P25" s="84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2.75" customHeight="1" x14ac:dyDescent="0.3">
      <c r="A26" s="7"/>
      <c r="B26" s="1" t="s">
        <v>36</v>
      </c>
      <c r="C26" s="1"/>
      <c r="D26" s="1"/>
      <c r="E26" s="1"/>
      <c r="F26" s="25">
        <f>F20+F15+F13+F14+F17</f>
        <v>1625</v>
      </c>
      <c r="G26" s="1"/>
      <c r="H26" s="1"/>
      <c r="I26" s="116"/>
      <c r="J26" s="1"/>
      <c r="K26" s="69" t="s">
        <v>35</v>
      </c>
      <c r="L26" s="1"/>
      <c r="M26" s="1"/>
      <c r="N26" s="17">
        <v>43922</v>
      </c>
      <c r="O26" s="10"/>
      <c r="P26" s="84"/>
      <c r="Q26" s="80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2.75" customHeight="1" x14ac:dyDescent="0.25">
      <c r="A27" s="7"/>
      <c r="B27" s="1"/>
      <c r="C27" s="1"/>
      <c r="D27" s="1"/>
      <c r="E27" s="1"/>
      <c r="F27" s="28"/>
      <c r="G27" s="1"/>
      <c r="H27" s="1"/>
      <c r="I27" s="117"/>
      <c r="J27" s="1"/>
      <c r="K27" s="69" t="str">
        <f>IF(infotype=3,"","Today's Date")</f>
        <v>Today's Date</v>
      </c>
      <c r="L27" s="1"/>
      <c r="M27" s="1"/>
      <c r="N27" s="82">
        <f ca="1">TODAY()</f>
        <v>44581</v>
      </c>
      <c r="O27" s="4"/>
      <c r="P27" s="84"/>
      <c r="Q27" s="81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2.75" customHeight="1" x14ac:dyDescent="0.3">
      <c r="A28" s="7"/>
      <c r="B28" s="2" t="s">
        <v>37</v>
      </c>
      <c r="C28" s="2"/>
      <c r="D28" s="2"/>
      <c r="E28" s="2"/>
      <c r="F28" s="27"/>
      <c r="G28" s="9"/>
      <c r="H28" s="1"/>
      <c r="I28" s="116"/>
      <c r="J28" s="1"/>
      <c r="K28" s="94" t="str">
        <f>IF(infotype=3,"","Total Months in Default")</f>
        <v>Total Months in Default</v>
      </c>
      <c r="L28" s="4"/>
      <c r="M28" s="4"/>
      <c r="N28" s="18">
        <f ca="1">ROUNDUP((DAYS360(N26,N27))/30,0)</f>
        <v>22</v>
      </c>
      <c r="O28" s="4"/>
      <c r="P28" s="84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2.75" customHeight="1" x14ac:dyDescent="0.25">
      <c r="A29" s="7"/>
      <c r="B29" s="96" t="s">
        <v>17</v>
      </c>
      <c r="C29" s="95"/>
      <c r="D29" s="95"/>
      <c r="E29" s="95"/>
      <c r="F29" s="101"/>
      <c r="G29" s="1"/>
      <c r="H29" s="1"/>
      <c r="I29" s="116"/>
      <c r="J29" s="1"/>
      <c r="K29" s="94" t="str">
        <f>IF(infotype=3,"",IF(infotype=2,IF(N18&gt;0,"Interest Bearing UPB at Default","UPB at Default"),IF(infotype=1,"Est UPB at Default",0)))</f>
        <v>UPB at Default</v>
      </c>
      <c r="L29" s="4"/>
      <c r="M29" s="4"/>
      <c r="N29" s="24">
        <f>IF(infotype=1,-PV(N11/12,N16-ROUNDUP((N26-N17)/30,0),'COVID Flex'!E13),N24)</f>
        <v>112920.66</v>
      </c>
      <c r="O29" s="4"/>
      <c r="P29" s="84">
        <v>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2.75" customHeight="1" x14ac:dyDescent="0.25">
      <c r="A30" s="7"/>
      <c r="B30" s="96" t="str">
        <f>IF($F$29="YTD","Enter Date of YTD","")</f>
        <v/>
      </c>
      <c r="C30" s="95"/>
      <c r="D30" s="95"/>
      <c r="E30" s="95"/>
      <c r="F30" s="102">
        <v>41197</v>
      </c>
      <c r="G30" s="1"/>
      <c r="H30" s="1"/>
      <c r="I30" s="116"/>
      <c r="J30" s="1"/>
      <c r="K30" s="94" t="str">
        <f>IF(infotype=3,"","Taxes in Arrears")</f>
        <v>Taxes in Arrears</v>
      </c>
      <c r="L30" s="1"/>
      <c r="M30" s="1"/>
      <c r="N30" s="24">
        <f ca="1">N19*N28</f>
        <v>0</v>
      </c>
      <c r="O30" s="4"/>
      <c r="P30" s="84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2.75" customHeight="1" x14ac:dyDescent="0.25">
      <c r="A31" s="7"/>
      <c r="B31" s="95" t="s">
        <v>20</v>
      </c>
      <c r="C31" s="95"/>
      <c r="D31" s="95"/>
      <c r="E31" s="95"/>
      <c r="F31" s="98">
        <v>0</v>
      </c>
      <c r="G31" s="1"/>
      <c r="H31" s="1"/>
      <c r="I31" s="116"/>
      <c r="J31" s="1"/>
      <c r="K31" s="94" t="str">
        <f>IF(infotype=3,"","Insurance Arrears")</f>
        <v>Insurance Arrears</v>
      </c>
      <c r="L31" s="1"/>
      <c r="M31" s="1"/>
      <c r="N31" s="24">
        <f ca="1">N20*N28</f>
        <v>0</v>
      </c>
      <c r="O31" s="4"/>
      <c r="P31" s="84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2.75" customHeight="1" x14ac:dyDescent="0.25">
      <c r="A32" s="7"/>
      <c r="B32" s="96" t="s">
        <v>21</v>
      </c>
      <c r="C32" s="95"/>
      <c r="D32" s="95"/>
      <c r="E32" s="95"/>
      <c r="F32" s="103">
        <f>IF(F29="weekly",F31*52/12,IF(F29="biweekly",F31*26/12,IF(F29="bimonthly",F31*2,IF(F29="annual",F31/12,IF(F29="ytd",F31/DAYS360(DATE(YEAR(F30),1,1),F30)*30,IF(F29="monthly",F31,0))))))</f>
        <v>0</v>
      </c>
      <c r="G32" s="1"/>
      <c r="H32" s="1"/>
      <c r="I32" s="116"/>
      <c r="J32" s="1"/>
      <c r="K32" s="69" t="str">
        <f>IF(infotype=3,"","Association Fee Arrears")</f>
        <v>Association Fee Arrears</v>
      </c>
      <c r="L32" s="1"/>
      <c r="M32" s="1"/>
      <c r="N32" s="24">
        <f ca="1">N21*N28</f>
        <v>0</v>
      </c>
      <c r="O32" s="4"/>
      <c r="P32" s="84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2.75" customHeight="1" x14ac:dyDescent="0.3">
      <c r="A33" s="7"/>
      <c r="B33" s="69" t="s">
        <v>24</v>
      </c>
      <c r="C33" s="2"/>
      <c r="D33" s="2"/>
      <c r="E33" s="2"/>
      <c r="F33" s="97">
        <v>0</v>
      </c>
      <c r="G33" s="1"/>
      <c r="H33" s="1"/>
      <c r="I33" s="116"/>
      <c r="J33" s="1"/>
      <c r="K33" s="94" t="str">
        <f>IF(infotype=3,"","Interest Arrears")</f>
        <v>Interest Arrears</v>
      </c>
      <c r="L33" s="1"/>
      <c r="M33" s="259"/>
      <c r="N33" s="24">
        <f ca="1">N28*ROUND(N11/12*N29,2)+(DAY(N27)-DAY(N26))*ROUND(N11/365*N29,4)</f>
        <v>8249.8557999999994</v>
      </c>
      <c r="O33" s="4"/>
      <c r="P33" s="84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 customHeight="1" x14ac:dyDescent="0.25">
      <c r="A34" s="7"/>
      <c r="B34" s="94" t="s">
        <v>26</v>
      </c>
      <c r="C34" s="1"/>
      <c r="D34" s="1"/>
      <c r="E34" s="1"/>
      <c r="F34" s="97">
        <v>0</v>
      </c>
      <c r="G34" s="1"/>
      <c r="H34" s="1"/>
      <c r="I34" s="116"/>
      <c r="J34" s="1"/>
      <c r="K34" s="94" t="str">
        <f>IF(infotype=3,"","Monthly PITIA Payment")</f>
        <v>Monthly PITIA Payment</v>
      </c>
      <c r="L34" s="1"/>
      <c r="M34" s="259"/>
      <c r="N34" s="24">
        <f>'COVID Flex'!E18</f>
        <v>613.19000000000005</v>
      </c>
      <c r="O34" s="4"/>
      <c r="P34" s="84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.75" customHeight="1" thickBot="1" x14ac:dyDescent="0.3">
      <c r="A35" s="7"/>
      <c r="B35" s="1"/>
      <c r="C35" s="1"/>
      <c r="D35" s="1"/>
      <c r="E35" s="1"/>
      <c r="F35" s="99">
        <f>F34*1.25</f>
        <v>0</v>
      </c>
      <c r="G35" s="69" t="s">
        <v>28</v>
      </c>
      <c r="H35" s="1"/>
      <c r="I35" s="116"/>
      <c r="J35" s="1"/>
      <c r="K35" s="4" t="str">
        <f>IF(infotype=3,"","Allowable Fees &amp; Costs")</f>
        <v>Allowable Fees &amp; Costs</v>
      </c>
      <c r="L35" s="4"/>
      <c r="M35" s="4"/>
      <c r="N35" s="20">
        <v>4192.5200000000004</v>
      </c>
      <c r="O35" s="4"/>
      <c r="P35" s="84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 thickBot="1" x14ac:dyDescent="0.35">
      <c r="A36" s="7"/>
      <c r="B36" s="1"/>
      <c r="C36" s="1"/>
      <c r="D36" s="1"/>
      <c r="E36" s="1"/>
      <c r="F36" s="100"/>
      <c r="G36" s="69"/>
      <c r="H36" s="1"/>
      <c r="I36" s="116"/>
      <c r="J36" s="1"/>
      <c r="K36" s="10" t="str">
        <f>IF(infotype=3,"",IF(N18&gt;0,"Total Eligible Arrears and Forbearance","Total Eligible Arrears"))</f>
        <v>Total Eligible Arrears</v>
      </c>
      <c r="L36" s="4"/>
      <c r="M36" s="4"/>
      <c r="N36" s="30">
        <f ca="1">IF(infotype=3,N25,SUM(N30:N35)+N18)</f>
        <v>13055.5658</v>
      </c>
      <c r="O36" s="4"/>
      <c r="P36" s="84"/>
      <c r="Q36" s="3"/>
      <c r="R36" s="3"/>
      <c r="S36" s="3"/>
      <c r="T36" s="3"/>
      <c r="U36" s="3"/>
      <c r="V36" s="3"/>
      <c r="W36" s="3"/>
    </row>
    <row r="37" spans="1:27" ht="12.75" customHeight="1" x14ac:dyDescent="0.25">
      <c r="A37" s="7"/>
      <c r="B37" s="1" t="s">
        <v>36</v>
      </c>
      <c r="C37" s="1"/>
      <c r="D37" s="1"/>
      <c r="E37" s="1"/>
      <c r="F37" s="93">
        <f>SUM(F32,F33,F35)</f>
        <v>0</v>
      </c>
      <c r="G37" s="1"/>
      <c r="H37" s="1"/>
      <c r="I37" s="116"/>
      <c r="J37" s="1"/>
      <c r="K37" s="1"/>
      <c r="L37" s="1"/>
      <c r="M37" s="1"/>
      <c r="N37" s="1"/>
      <c r="O37" s="1"/>
      <c r="P37" s="232"/>
      <c r="Q37" s="3"/>
      <c r="R37" s="79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 customHeight="1" thickBot="1" x14ac:dyDescent="0.3">
      <c r="A38" s="7"/>
      <c r="B38" s="1"/>
      <c r="C38" s="1"/>
      <c r="D38" s="1"/>
      <c r="E38" s="1"/>
      <c r="F38" s="28"/>
      <c r="G38" s="1"/>
      <c r="H38" s="1"/>
      <c r="I38" s="116"/>
      <c r="J38" s="1"/>
      <c r="K38" s="1"/>
      <c r="L38" s="1"/>
      <c r="M38" s="4"/>
      <c r="N38" s="4"/>
      <c r="O38" s="4"/>
      <c r="P38" s="260"/>
      <c r="Q38" s="3"/>
      <c r="R38" s="79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 customHeight="1" thickTop="1" thickBot="1" x14ac:dyDescent="0.35">
      <c r="A39" s="7"/>
      <c r="B39" s="2" t="s">
        <v>39</v>
      </c>
      <c r="C39" s="1"/>
      <c r="D39" s="1"/>
      <c r="E39" s="15"/>
      <c r="F39" s="122">
        <f>F26+F37</f>
        <v>1625</v>
      </c>
      <c r="G39" s="16"/>
      <c r="H39" s="1"/>
      <c r="I39" s="201"/>
      <c r="J39" s="4"/>
      <c r="K39" s="1"/>
      <c r="L39" s="1"/>
      <c r="M39" s="1"/>
      <c r="N39" s="1"/>
      <c r="O39" s="1"/>
      <c r="P39" s="232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 customHeight="1" thickTop="1" x14ac:dyDescent="0.3">
      <c r="A40" s="7"/>
      <c r="B40" s="2"/>
      <c r="C40" s="1"/>
      <c r="D40" s="1"/>
      <c r="E40" s="1"/>
      <c r="F40" s="123"/>
      <c r="G40" s="11"/>
      <c r="H40" s="1"/>
      <c r="I40" s="116"/>
      <c r="J40" s="4"/>
      <c r="K40" s="1"/>
      <c r="L40" s="1"/>
      <c r="M40" s="1"/>
      <c r="N40" s="1"/>
      <c r="O40" s="1"/>
      <c r="P40" s="232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 x14ac:dyDescent="0.3">
      <c r="A41" s="7"/>
      <c r="B41" s="2"/>
      <c r="C41" s="1"/>
      <c r="D41" s="1"/>
      <c r="E41" s="1"/>
      <c r="F41" s="23"/>
      <c r="G41" s="11"/>
      <c r="H41" s="1"/>
      <c r="I41" s="116"/>
      <c r="J41" s="4"/>
      <c r="K41" s="1"/>
      <c r="L41" s="1"/>
      <c r="M41" s="1"/>
      <c r="N41" s="1"/>
      <c r="O41" s="1"/>
      <c r="P41" s="232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 x14ac:dyDescent="0.3">
      <c r="A42" s="261"/>
      <c r="B42" s="2"/>
      <c r="C42" s="1"/>
      <c r="D42" s="1"/>
      <c r="E42" s="1"/>
      <c r="F42" s="23"/>
      <c r="G42" s="11"/>
      <c r="H42" s="1"/>
      <c r="I42" s="116"/>
      <c r="J42" s="4"/>
      <c r="K42" s="1"/>
      <c r="L42" s="1"/>
      <c r="M42" s="1"/>
      <c r="N42" s="1"/>
      <c r="O42" s="1"/>
      <c r="P42" s="232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 customHeight="1" x14ac:dyDescent="0.25">
      <c r="A43" s="7"/>
      <c r="B43" s="1"/>
      <c r="C43" s="1"/>
      <c r="D43" s="1"/>
      <c r="E43" s="1"/>
      <c r="F43" s="1"/>
      <c r="G43" s="1"/>
      <c r="H43" s="1"/>
      <c r="I43" s="116"/>
      <c r="J43" s="4"/>
      <c r="K43" s="1"/>
      <c r="L43" s="1"/>
      <c r="M43" s="1"/>
      <c r="N43" s="1"/>
      <c r="O43" s="1"/>
      <c r="P43" s="232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 customHeight="1" x14ac:dyDescent="0.25">
      <c r="A44" s="7"/>
      <c r="B44" s="1"/>
      <c r="C44" s="1"/>
      <c r="D44" s="1"/>
      <c r="E44" s="1"/>
      <c r="F44" s="1"/>
      <c r="G44" s="1"/>
      <c r="H44" s="1"/>
      <c r="I44" s="116"/>
      <c r="J44" s="1"/>
      <c r="K44" s="1"/>
      <c r="L44" s="1"/>
      <c r="M44" s="1"/>
      <c r="N44" s="1"/>
      <c r="O44" s="1"/>
      <c r="P44" s="232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25">
      <c r="A45" s="233"/>
      <c r="B45" s="12"/>
      <c r="C45" s="12"/>
      <c r="D45" s="12"/>
      <c r="E45" s="12"/>
      <c r="F45" s="12"/>
      <c r="G45" s="12"/>
      <c r="H45" s="12"/>
      <c r="I45" s="119"/>
      <c r="J45" s="1"/>
      <c r="K45" s="1"/>
      <c r="L45" s="1"/>
      <c r="M45" s="1"/>
      <c r="N45" s="1"/>
      <c r="O45" s="1"/>
      <c r="P45" s="232"/>
      <c r="Q45" s="1"/>
    </row>
    <row r="46" spans="1:27" x14ac:dyDescent="0.25">
      <c r="A46" s="1"/>
      <c r="B46" s="1"/>
      <c r="C46" s="1"/>
      <c r="D46" s="1"/>
      <c r="E46" s="1"/>
      <c r="F46" s="1"/>
      <c r="G46" s="1"/>
      <c r="H46" s="4"/>
      <c r="I46" s="4"/>
      <c r="J46" s="12"/>
      <c r="K46" s="12"/>
      <c r="L46" s="12"/>
      <c r="M46" s="12"/>
      <c r="N46" s="12"/>
      <c r="O46" s="12"/>
      <c r="P46" s="235"/>
      <c r="Q46" s="1"/>
    </row>
    <row r="47" spans="1:27" x14ac:dyDescent="0.25">
      <c r="H47" s="3"/>
      <c r="I47" s="4"/>
      <c r="Q47" s="1"/>
    </row>
    <row r="48" spans="1:27" x14ac:dyDescent="0.25">
      <c r="H48" s="3"/>
      <c r="I48" s="4"/>
      <c r="Q48" s="1"/>
    </row>
    <row r="49" spans="8:9" x14ac:dyDescent="0.25">
      <c r="H49" s="3"/>
      <c r="I49" s="4"/>
    </row>
    <row r="50" spans="8:9" x14ac:dyDescent="0.25">
      <c r="H50" s="3"/>
      <c r="I50" s="3"/>
    </row>
    <row r="51" spans="8:9" x14ac:dyDescent="0.25">
      <c r="I51" s="3"/>
    </row>
    <row r="52" spans="8:9" x14ac:dyDescent="0.25">
      <c r="I52" s="3"/>
    </row>
    <row r="53" spans="8:9" x14ac:dyDescent="0.25">
      <c r="I53" s="3"/>
    </row>
  </sheetData>
  <customSheetViews>
    <customSheetView guid="{0367687A-2E80-4414-9E57-D64905950517}" showGridLines="0">
      <selection activeCell="F16" sqref="F16"/>
    </customSheetView>
  </customSheetViews>
  <mergeCells count="7">
    <mergeCell ref="J9:P9"/>
    <mergeCell ref="K22:N22"/>
    <mergeCell ref="K3:N3"/>
    <mergeCell ref="A7:F7"/>
    <mergeCell ref="A1:P1"/>
    <mergeCell ref="E3:F3"/>
    <mergeCell ref="K6:M6"/>
  </mergeCells>
  <phoneticPr fontId="2" type="noConversion"/>
  <conditionalFormatting sqref="N24">
    <cfRule type="expression" dxfId="53" priority="119">
      <formula>IF(infotype=1,1,0)</formula>
    </cfRule>
  </conditionalFormatting>
  <conditionalFormatting sqref="N27:N36">
    <cfRule type="expression" dxfId="52" priority="38">
      <formula>IF(infotype=3,1,0)</formula>
    </cfRule>
  </conditionalFormatting>
  <conditionalFormatting sqref="G17:G32 G36">
    <cfRule type="expression" dxfId="51" priority="37">
      <formula>IF(AND(F16=0,F17=0),1,0)</formula>
    </cfRule>
  </conditionalFormatting>
  <conditionalFormatting sqref="F23">
    <cfRule type="expression" dxfId="50" priority="34">
      <formula>IF(Rental="Yes",1,0)</formula>
    </cfRule>
  </conditionalFormatting>
  <conditionalFormatting sqref="G16 G33:G34">
    <cfRule type="expression" dxfId="49" priority="78">
      <formula>IF(AND(#REF!=0,F16=0),1,0)</formula>
    </cfRule>
  </conditionalFormatting>
  <conditionalFormatting sqref="G35">
    <cfRule type="expression" dxfId="48" priority="26">
      <formula>IF(AND(F34=0,F35=0),1,0)</formula>
    </cfRule>
  </conditionalFormatting>
  <conditionalFormatting sqref="G34">
    <cfRule type="expression" dxfId="47" priority="24">
      <formula>IF(AND(#REF!=0,F34=0),1,0)</formula>
    </cfRule>
  </conditionalFormatting>
  <conditionalFormatting sqref="F11">
    <cfRule type="expression" dxfId="46" priority="23">
      <formula>IF($F$10="YTD",0,1)</formula>
    </cfRule>
  </conditionalFormatting>
  <conditionalFormatting sqref="F30">
    <cfRule type="expression" dxfId="45" priority="22">
      <formula>IF($F$29="YTD",0,1)</formula>
    </cfRule>
  </conditionalFormatting>
  <conditionalFormatting sqref="N6">
    <cfRule type="expression" dxfId="44" priority="21">
      <formula>IF(Owner=3,1,0)</formula>
    </cfRule>
  </conditionalFormatting>
  <conditionalFormatting sqref="K25">
    <cfRule type="expression" dxfId="43" priority="9">
      <formula>IF(infotype=2,1,0)</formula>
    </cfRule>
  </conditionalFormatting>
  <conditionalFormatting sqref="N25">
    <cfRule type="expression" dxfId="42" priority="7">
      <formula>IF(infotype=1,1,0)</formula>
    </cfRule>
    <cfRule type="expression" dxfId="41" priority="8">
      <formula>IF(infotype=2,1,0)</formula>
    </cfRule>
  </conditionalFormatting>
  <conditionalFormatting sqref="N14">
    <cfRule type="expression" dxfId="40" priority="5">
      <formula>IF(AND($N$10="Traditional Inputs",$N$12="Fixed Rate"),1,0)</formula>
    </cfRule>
    <cfRule type="expression" dxfId="39" priority="1">
      <formula>IF(AND($N$10="Mortgage Statement",$N$12="Fixed Rate"),1,0)</formula>
    </cfRule>
  </conditionalFormatting>
  <conditionalFormatting sqref="N24:N25 K26:N34">
    <cfRule type="expression" dxfId="38" priority="171" stopIfTrue="1">
      <formula>IF(AND(infotype=1,$N$12="Other"),1,0)</formula>
    </cfRule>
  </conditionalFormatting>
  <conditionalFormatting sqref="K24">
    <cfRule type="expression" dxfId="37" priority="173">
      <formula>IF(AND(infotype=1,$N$12="Other"),1,0)</formula>
    </cfRule>
    <cfRule type="expression" dxfId="36" priority="174">
      <formula>IF(infotype=1,1,0)</formula>
    </cfRule>
  </conditionalFormatting>
  <conditionalFormatting sqref="N13">
    <cfRule type="expression" dxfId="35" priority="175">
      <formula>IF(AND(N12="Fixed Rate",NOT($N$10="Mortgage Statement")),1,0)</formula>
    </cfRule>
  </conditionalFormatting>
  <conditionalFormatting sqref="N15">
    <cfRule type="expression" dxfId="34" priority="4">
      <formula>IF($N$10="Mortgage Statement",1,0)</formula>
    </cfRule>
  </conditionalFormatting>
  <conditionalFormatting sqref="N16 K15:K17">
    <cfRule type="expression" dxfId="33" priority="3">
      <formula>IF($N$10="Mortgage Statement",1,0)</formula>
    </cfRule>
  </conditionalFormatting>
  <conditionalFormatting sqref="N17">
    <cfRule type="expression" dxfId="32" priority="2">
      <formula>IF($N$10="Mortgage Statement",1,0)</formula>
    </cfRule>
  </conditionalFormatting>
  <dataValidations xWindow="982" yWindow="522" count="14">
    <dataValidation type="list" allowBlank="1" showInputMessage="1" showErrorMessage="1" sqref="N23" xr:uid="{00000000-0002-0000-0000-000000000000}">
      <formula1>"Capitalized UPB, UPB at Default, Only Default Date"</formula1>
    </dataValidation>
    <dataValidation allowBlank="1" showErrorMessage="1" promptTitle="Default Date" prompt="Enter the date of the first missed payment." sqref="K26" xr:uid="{00000000-0002-0000-0000-000001000000}"/>
    <dataValidation allowBlank="1" showInputMessage="1" showErrorMessage="1" promptTitle="Monthly P&amp;I" prompt="Enter the amount of monthly principal and interest currently due on the loan - not the initial amount or amount that borrower last paid." sqref="N13" xr:uid="{00000000-0002-0000-0000-000002000000}"/>
    <dataValidation type="list" allowBlank="1" showInputMessage="1" showErrorMessage="1" promptTitle="Rate Type" prompt="Fixed Rate - rate does not change_x000a_Adjustable Rate - rate is tied to a fluctuating index_x000a_Step Rate - rate adjusts, but is not tied to an index (e.g. HAMP mods)" sqref="N12:N13" xr:uid="{00000000-0002-0000-0000-000003000000}">
      <formula1>"Fixed Rate, Adjustable Rate, Step Rate"</formula1>
    </dataValidation>
    <dataValidation allowBlank="1" showInputMessage="1" showErrorMessage="1" promptTitle="Date of First Payment" prompt="Enter the date on which the first payment was due.  This is different than the origination date." sqref="K17" xr:uid="{00000000-0002-0000-0000-000004000000}"/>
    <dataValidation allowBlank="1" showInputMessage="1" showErrorMessage="1" promptTitle="Monthly Fixed Income" prompt="Fixed income provided on a monthly basis._x000a__x000a_Examples include SSA, SSD and pension payments." sqref="B33 F33 F15 B15" xr:uid="{00000000-0002-0000-0000-000005000000}"/>
    <dataValidation allowBlank="1" showInputMessage="1" showErrorMessage="1" promptTitle="Monthly Untaxed Income" prompt="Income that is not subject to federal income tax._x000a__x000a_Examples include SSI, SNAP, VA benefits and adoption assistance payments." sqref="B34 F34 F16 B16" xr:uid="{00000000-0002-0000-0000-000006000000}"/>
    <dataValidation allowBlank="1" showInputMessage="1" showErrorMessage="1" promptTitle="Monthly Contribution" prompt="Money provided on a monthly basis to the mortgage by a non-borrower occupant." sqref="B14 F14" xr:uid="{00000000-0002-0000-0000-000008000000}"/>
    <dataValidation type="list" allowBlank="1" showInputMessage="1" showErrorMessage="1" sqref="F10 F29" xr:uid="{00000000-0002-0000-0000-000009000000}">
      <formula1>"Weekly, Biweekly, Bimonthly, Monthly, Annual, YTD"</formula1>
    </dataValidation>
    <dataValidation type="list" allowBlank="1" showInputMessage="1" showErrorMessage="1" sqref="N5" xr:uid="{00000000-0002-0000-0000-00000A000000}">
      <formula1>"Fannie Mae, Freddie Mac"</formula1>
    </dataValidation>
    <dataValidation allowBlank="1" showErrorMessage="1" sqref="N14" xr:uid="{00000000-0002-0000-0000-00000B000000}"/>
    <dataValidation allowBlank="1" showInputMessage="1" showErrorMessage="1" promptTitle="Forbearance" prompt="Enter the amount of non-interest-bearing principal forbearance." sqref="N18" xr:uid="{00000000-0002-0000-0000-00000C000000}"/>
    <dataValidation type="list" allowBlank="1" showInputMessage="1" showErrorMessage="1" sqref="N10 N12:N14" xr:uid="{61ED4A52-3808-4E43-AF1F-E171C48C41AD}">
      <formula1>"Mortgage Statement, Traditional Inputs"</formula1>
    </dataValidation>
    <dataValidation type="date" allowBlank="1" showErrorMessage="1" errorTitle="Improper Date" error="Default Date cell must contain a valid date after the first payment is due, but before today." promptTitle="Default Date" prompt="Enter the date of default" sqref="N26" xr:uid="{00000000-0002-0000-0000-00000D000000}">
      <formula1>N17</formula1>
      <formula2>N27</formula2>
    </dataValidation>
  </dataValidations>
  <pageMargins left="0.75" right="0.75" top="1" bottom="1" header="0.5" footer="0.5"/>
  <pageSetup scale="82" orientation="landscape" r:id="rId1"/>
  <headerFooter alignWithMargins="0">
    <oddHeader>&amp;L&amp;14&amp;F
Run on: 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  <pageSetUpPr autoPageBreaks="0"/>
  </sheetPr>
  <dimension ref="A1:R43"/>
  <sheetViews>
    <sheetView showGridLines="0" zoomScaleNormal="100" workbookViewId="0">
      <selection activeCell="K13" sqref="K13"/>
    </sheetView>
  </sheetViews>
  <sheetFormatPr defaultColWidth="9.1796875" defaultRowHeight="12.5" x14ac:dyDescent="0.25"/>
  <cols>
    <col min="1" max="1" width="3" style="153" customWidth="1"/>
    <col min="2" max="3" width="9.1796875" style="153"/>
    <col min="4" max="4" width="12.7265625" style="153" customWidth="1"/>
    <col min="5" max="5" width="15.453125" style="153" customWidth="1"/>
    <col min="6" max="6" width="8.81640625" style="153" customWidth="1"/>
    <col min="7" max="7" width="10" style="153" customWidth="1"/>
    <col min="8" max="8" width="4.453125" style="153" customWidth="1"/>
    <col min="9" max="9" width="6.453125" style="153" customWidth="1"/>
    <col min="10" max="10" width="6.26953125" style="153" customWidth="1"/>
    <col min="11" max="11" width="12.81640625" style="153" customWidth="1"/>
    <col min="12" max="12" width="7.453125" style="153" customWidth="1"/>
    <col min="13" max="13" width="3.1796875" style="153" customWidth="1"/>
    <col min="14" max="14" width="4.7265625" style="153" customWidth="1"/>
    <col min="15" max="15" width="10.453125" style="153" customWidth="1"/>
    <col min="16" max="16" width="17.7265625" style="153" customWidth="1"/>
    <col min="17" max="17" width="2.1796875" style="153" customWidth="1"/>
    <col min="18" max="18" width="2.7265625" style="197" customWidth="1"/>
    <col min="19" max="16384" width="9.1796875" style="153"/>
  </cols>
  <sheetData>
    <row r="1" spans="1:18" ht="17.5" x14ac:dyDescent="0.35">
      <c r="A1" s="313" t="str">
        <f>IF(Owner=1,"FANNIE MAE STANDARD MODIFICATION","FREDDIE MAC STANDARD MODIFICATION")</f>
        <v>FANNIE MAE STANDARD MODIFICATION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5"/>
    </row>
    <row r="2" spans="1:18" x14ac:dyDescent="0.25">
      <c r="A2" s="154"/>
      <c r="B2" s="155" t="str">
        <f>IF(Q43="MFY's Proprietary Waterfall Worksheet for HAMP Tiers 1 and 2","","MFY's Proprietary Waterfall Worksheet for HAMP Tiers 1 and 2")</f>
        <v>MFY's Proprietary Waterfall Worksheet for HAMP Tiers 1 and 2</v>
      </c>
      <c r="C2" s="156"/>
      <c r="D2" s="156"/>
      <c r="E2" s="156"/>
      <c r="F2" s="156"/>
      <c r="G2" s="156"/>
      <c r="H2" s="157"/>
      <c r="I2" s="156"/>
      <c r="J2" s="156"/>
      <c r="K2" s="156"/>
      <c r="L2" s="156"/>
      <c r="M2" s="156"/>
      <c r="N2" s="156"/>
      <c r="O2" s="156"/>
      <c r="P2" s="156"/>
      <c r="Q2" s="156"/>
      <c r="R2" s="158"/>
    </row>
    <row r="3" spans="1:18" ht="12.75" customHeight="1" x14ac:dyDescent="0.25">
      <c r="A3" s="159"/>
      <c r="B3" s="160"/>
      <c r="C3" s="161"/>
      <c r="D3" s="162"/>
      <c r="E3" s="161"/>
      <c r="F3" s="161"/>
      <c r="G3" s="161"/>
      <c r="H3" s="163"/>
      <c r="I3" s="307" t="str">
        <f ca="1">IF(UPB&lt;0.8*Value,"MTMLTV&lt;80% - NO FORBEARANCE","FORBEAR PRINCIPAL")</f>
        <v>MTMLTV&lt;80% - NO FORBEARANCE</v>
      </c>
      <c r="J3" s="308"/>
      <c r="K3" s="308"/>
      <c r="L3" s="308"/>
      <c r="M3" s="308"/>
      <c r="N3" s="308"/>
      <c r="O3" s="308"/>
      <c r="P3" s="308"/>
      <c r="Q3" s="308"/>
      <c r="R3" s="309"/>
    </row>
    <row r="4" spans="1:18" ht="13" x14ac:dyDescent="0.25">
      <c r="A4" s="159"/>
      <c r="B4" s="161"/>
      <c r="C4" s="161"/>
      <c r="D4" s="316" t="s">
        <v>1</v>
      </c>
      <c r="E4" s="316"/>
      <c r="F4" s="161"/>
      <c r="G4" s="161"/>
      <c r="H4" s="163"/>
      <c r="I4" s="161"/>
      <c r="J4" s="161"/>
      <c r="K4" s="161"/>
      <c r="L4" s="161"/>
      <c r="M4" s="161"/>
      <c r="N4" s="161"/>
      <c r="O4" s="161"/>
      <c r="P4" s="161"/>
      <c r="Q4" s="161"/>
      <c r="R4" s="164"/>
    </row>
    <row r="5" spans="1:18" x14ac:dyDescent="0.25">
      <c r="A5" s="159"/>
      <c r="B5" s="161"/>
      <c r="C5" s="161"/>
      <c r="D5" s="165" t="s">
        <v>3</v>
      </c>
      <c r="E5" s="166" t="s">
        <v>4</v>
      </c>
      <c r="F5" s="161"/>
      <c r="G5" s="161"/>
      <c r="H5" s="163"/>
      <c r="I5" s="161"/>
      <c r="J5" s="161" t="s">
        <v>42</v>
      </c>
      <c r="K5" s="161"/>
      <c r="L5" s="161"/>
      <c r="M5" s="161"/>
      <c r="N5" s="161"/>
      <c r="O5" s="161"/>
      <c r="P5" s="202">
        <f>Inputs!N7</f>
        <v>250000</v>
      </c>
      <c r="Q5" s="161"/>
      <c r="R5" s="164"/>
    </row>
    <row r="6" spans="1:18" x14ac:dyDescent="0.25">
      <c r="A6" s="159"/>
      <c r="B6" s="167"/>
      <c r="C6" s="167"/>
      <c r="D6" s="168" t="s">
        <v>5</v>
      </c>
      <c r="E6" s="169" t="s">
        <v>6</v>
      </c>
      <c r="F6" s="161"/>
      <c r="G6" s="161"/>
      <c r="H6" s="163"/>
      <c r="I6" s="161"/>
      <c r="J6" s="170" t="s">
        <v>43</v>
      </c>
      <c r="K6" s="161"/>
      <c r="L6" s="161"/>
      <c r="M6" s="161"/>
      <c r="N6" s="161"/>
      <c r="O6" s="161"/>
      <c r="P6" s="43">
        <f ca="1">UPB</f>
        <v>125976.2258</v>
      </c>
      <c r="Q6" s="161"/>
      <c r="R6" s="171"/>
    </row>
    <row r="7" spans="1:18" ht="13" x14ac:dyDescent="0.3">
      <c r="A7" s="159"/>
      <c r="B7" s="161"/>
      <c r="C7" s="161"/>
      <c r="D7" s="161"/>
      <c r="E7" s="161"/>
      <c r="F7" s="161"/>
      <c r="G7" s="161"/>
      <c r="H7" s="163"/>
      <c r="I7" s="161"/>
      <c r="J7" s="161" t="s">
        <v>44</v>
      </c>
      <c r="K7" s="161"/>
      <c r="L7" s="161"/>
      <c r="M7" s="161"/>
      <c r="N7" s="161"/>
      <c r="O7" s="161"/>
      <c r="P7" s="44">
        <f ca="1">P6/P5</f>
        <v>0.50390490320000003</v>
      </c>
      <c r="Q7" s="173"/>
      <c r="R7" s="171"/>
    </row>
    <row r="8" spans="1:18" ht="13" x14ac:dyDescent="0.3">
      <c r="A8" s="159"/>
      <c r="B8" s="174" t="s">
        <v>39</v>
      </c>
      <c r="C8" s="174"/>
      <c r="D8" s="174"/>
      <c r="E8" s="46">
        <f>GMI</f>
        <v>1625</v>
      </c>
      <c r="F8" s="161"/>
      <c r="G8" s="161"/>
      <c r="H8" s="163"/>
      <c r="I8" s="161"/>
      <c r="J8" s="161"/>
      <c r="K8" s="161"/>
      <c r="L8" s="161"/>
      <c r="M8" s="161"/>
      <c r="N8" s="161"/>
      <c r="O8" s="161"/>
      <c r="P8" s="175"/>
      <c r="Q8" s="161"/>
      <c r="R8" s="171"/>
    </row>
    <row r="9" spans="1:18" ht="13" x14ac:dyDescent="0.3">
      <c r="A9" s="159"/>
      <c r="B9" s="161"/>
      <c r="C9" s="161"/>
      <c r="D9" s="161"/>
      <c r="E9" s="161"/>
      <c r="F9" s="161"/>
      <c r="G9" s="161"/>
      <c r="H9" s="163"/>
      <c r="I9" s="161"/>
      <c r="J9" s="174" t="s">
        <v>83</v>
      </c>
      <c r="K9" s="161"/>
      <c r="L9" s="161"/>
      <c r="M9" s="161"/>
      <c r="N9" s="161"/>
      <c r="O9" s="161"/>
      <c r="P9" s="176" t="str">
        <f ca="1">IF(P7&gt;1.15,"YES","NO")</f>
        <v>NO</v>
      </c>
      <c r="Q9" s="161"/>
      <c r="R9" s="171"/>
    </row>
    <row r="10" spans="1:18" ht="13" x14ac:dyDescent="0.3">
      <c r="A10" s="159"/>
      <c r="B10" s="161"/>
      <c r="C10" s="161"/>
      <c r="D10" s="161"/>
      <c r="E10" s="161"/>
      <c r="F10" s="161"/>
      <c r="G10" s="161"/>
      <c r="H10" s="163"/>
      <c r="I10" s="161"/>
      <c r="J10" s="161"/>
      <c r="K10" s="177" t="str">
        <f ca="1">IF(P9="No","Proceed to Step 5","")</f>
        <v>Proceed to Step 5</v>
      </c>
      <c r="L10" s="177"/>
      <c r="M10" s="177"/>
      <c r="N10" s="161"/>
      <c r="O10" s="161"/>
      <c r="P10" s="161"/>
      <c r="Q10" s="161"/>
      <c r="R10" s="164"/>
    </row>
    <row r="11" spans="1:18" ht="15.5" x14ac:dyDescent="0.35">
      <c r="A11" s="159"/>
      <c r="B11" s="178" t="s">
        <v>46</v>
      </c>
      <c r="C11" s="161"/>
      <c r="D11" s="161"/>
      <c r="E11" s="51"/>
      <c r="F11" s="161"/>
      <c r="G11" s="161"/>
      <c r="H11" s="163"/>
      <c r="I11" s="161"/>
      <c r="J11" s="174" t="s">
        <v>47</v>
      </c>
      <c r="K11" s="174"/>
      <c r="L11" s="174"/>
      <c r="M11" s="174"/>
      <c r="N11" s="174"/>
      <c r="O11" s="174"/>
      <c r="P11" s="52"/>
      <c r="Q11" s="161"/>
      <c r="R11" s="164"/>
    </row>
    <row r="12" spans="1:18" ht="13" x14ac:dyDescent="0.3">
      <c r="A12" s="159"/>
      <c r="B12" s="161"/>
      <c r="C12" s="161"/>
      <c r="D12" s="161"/>
      <c r="E12" s="51"/>
      <c r="F12" s="161"/>
      <c r="G12" s="161"/>
      <c r="H12" s="163"/>
      <c r="I12" s="161"/>
      <c r="J12" s="170" t="s">
        <v>84</v>
      </c>
      <c r="K12" s="174"/>
      <c r="L12" s="174"/>
      <c r="M12" s="174"/>
      <c r="N12" s="174"/>
      <c r="O12" s="174"/>
      <c r="P12" s="174"/>
      <c r="Q12" s="161"/>
      <c r="R12" s="164"/>
    </row>
    <row r="13" spans="1:18" ht="13" x14ac:dyDescent="0.3">
      <c r="A13" s="159"/>
      <c r="B13" s="170" t="s">
        <v>49</v>
      </c>
      <c r="C13" s="161"/>
      <c r="D13" s="161"/>
      <c r="E13" s="76">
        <f>'COVID Flex'!$E$13</f>
        <v>613.19000000000005</v>
      </c>
      <c r="F13" s="161"/>
      <c r="G13" s="161"/>
      <c r="H13" s="163"/>
      <c r="I13" s="161"/>
      <c r="J13" s="161"/>
      <c r="K13" s="161" t="s">
        <v>50</v>
      </c>
      <c r="L13" s="161"/>
      <c r="M13" s="161"/>
      <c r="N13" s="161"/>
      <c r="O13" s="161"/>
      <c r="P13" s="53" t="str">
        <f ca="1">IF(P9="NO","",P5*1.15)</f>
        <v/>
      </c>
      <c r="Q13" s="174"/>
      <c r="R13" s="164"/>
    </row>
    <row r="14" spans="1:18" ht="13" x14ac:dyDescent="0.3">
      <c r="A14" s="159"/>
      <c r="B14" s="161" t="s">
        <v>51</v>
      </c>
      <c r="C14" s="161"/>
      <c r="D14" s="161"/>
      <c r="E14" s="54">
        <f>'COVID Flex'!$E$14</f>
        <v>0</v>
      </c>
      <c r="F14" s="179" t="s">
        <v>52</v>
      </c>
      <c r="G14" s="161"/>
      <c r="H14" s="163"/>
      <c r="I14" s="161"/>
      <c r="J14" s="161"/>
      <c r="K14" s="161" t="s">
        <v>53</v>
      </c>
      <c r="L14" s="161"/>
      <c r="M14" s="161"/>
      <c r="N14" s="161"/>
      <c r="O14" s="161"/>
      <c r="P14" s="53" t="str">
        <f ca="1">IF(P9="NO","",E27-P13)</f>
        <v/>
      </c>
      <c r="Q14" s="174"/>
      <c r="R14" s="164"/>
    </row>
    <row r="15" spans="1:18" x14ac:dyDescent="0.25">
      <c r="A15" s="159"/>
      <c r="B15" s="161" t="s">
        <v>54</v>
      </c>
      <c r="C15" s="161"/>
      <c r="D15" s="161"/>
      <c r="E15" s="54">
        <f>'COVID Flex'!$E$15</f>
        <v>0</v>
      </c>
      <c r="F15" s="179" t="s">
        <v>52</v>
      </c>
      <c r="G15" s="161"/>
      <c r="H15" s="163"/>
      <c r="I15" s="161"/>
      <c r="J15" s="170" t="s">
        <v>55</v>
      </c>
      <c r="K15" s="161"/>
      <c r="L15" s="161"/>
      <c r="M15" s="161"/>
      <c r="N15" s="161"/>
      <c r="O15" s="161"/>
      <c r="P15" s="56"/>
      <c r="Q15" s="161"/>
      <c r="R15" s="164"/>
    </row>
    <row r="16" spans="1:18" x14ac:dyDescent="0.25">
      <c r="A16" s="159"/>
      <c r="B16" s="161" t="s">
        <v>56</v>
      </c>
      <c r="C16" s="161"/>
      <c r="D16" s="161"/>
      <c r="E16" s="64">
        <f>'COVID Flex'!$E$16</f>
        <v>0</v>
      </c>
      <c r="F16" s="179" t="s">
        <v>52</v>
      </c>
      <c r="G16" s="161"/>
      <c r="H16" s="163"/>
      <c r="I16" s="161"/>
      <c r="J16" s="161"/>
      <c r="K16" s="161" t="s">
        <v>50</v>
      </c>
      <c r="L16" s="161"/>
      <c r="M16" s="161"/>
      <c r="N16" s="161"/>
      <c r="O16" s="161"/>
      <c r="P16" s="180">
        <f ca="1">E27*0.7</f>
        <v>88183.358059999999</v>
      </c>
      <c r="Q16" s="161"/>
      <c r="R16" s="164"/>
    </row>
    <row r="17" spans="1:18" x14ac:dyDescent="0.25">
      <c r="A17" s="159"/>
      <c r="B17" s="162"/>
      <c r="C17" s="161"/>
      <c r="D17" s="161"/>
      <c r="E17" s="66"/>
      <c r="F17" s="181"/>
      <c r="G17" s="161"/>
      <c r="H17" s="163"/>
      <c r="I17" s="161"/>
      <c r="J17" s="161"/>
      <c r="K17" s="161" t="s">
        <v>53</v>
      </c>
      <c r="L17" s="161"/>
      <c r="M17" s="161"/>
      <c r="N17" s="161"/>
      <c r="O17" s="161"/>
      <c r="P17" s="53" t="str">
        <f ca="1">IF(P9="NO","",E27*0.3)</f>
        <v/>
      </c>
      <c r="Q17" s="161"/>
      <c r="R17" s="164"/>
    </row>
    <row r="18" spans="1:18" ht="13" x14ac:dyDescent="0.3">
      <c r="A18" s="159"/>
      <c r="B18" s="174" t="s">
        <v>38</v>
      </c>
      <c r="C18" s="174"/>
      <c r="D18" s="174"/>
      <c r="E18" s="65">
        <f>SUM(E13:E17)</f>
        <v>613.19000000000005</v>
      </c>
      <c r="F18" s="179"/>
      <c r="G18" s="161"/>
      <c r="H18" s="163"/>
      <c r="I18" s="161"/>
      <c r="J18" s="182" t="s">
        <v>57</v>
      </c>
      <c r="K18" s="161"/>
      <c r="L18" s="161"/>
      <c r="M18" s="161"/>
      <c r="N18" s="161"/>
      <c r="O18" s="161"/>
      <c r="P18" s="183" t="str">
        <f ca="1">IF(P14&lt;P17,P14,P17)</f>
        <v/>
      </c>
      <c r="Q18" s="161"/>
      <c r="R18" s="164"/>
    </row>
    <row r="19" spans="1:18" x14ac:dyDescent="0.25">
      <c r="A19" s="159"/>
      <c r="B19" s="161"/>
      <c r="C19" s="161"/>
      <c r="D19" s="161"/>
      <c r="E19" s="51"/>
      <c r="F19" s="161"/>
      <c r="G19" s="161"/>
      <c r="H19" s="163"/>
      <c r="I19" s="161"/>
      <c r="J19" s="161"/>
      <c r="K19" s="161"/>
      <c r="L19" s="161"/>
      <c r="M19" s="161"/>
      <c r="N19" s="161"/>
      <c r="O19" s="161"/>
      <c r="P19" s="161"/>
      <c r="Q19" s="161"/>
      <c r="R19" s="164"/>
    </row>
    <row r="20" spans="1:18" ht="13" x14ac:dyDescent="0.3">
      <c r="A20" s="159"/>
      <c r="B20" s="174" t="s">
        <v>58</v>
      </c>
      <c r="C20" s="161"/>
      <c r="D20" s="161"/>
      <c r="E20" s="184">
        <f ca="1">'COVID Flex'!$E$20</f>
        <v>396</v>
      </c>
      <c r="F20" s="162" t="s">
        <v>59</v>
      </c>
      <c r="G20" s="161"/>
      <c r="H20" s="163"/>
      <c r="I20" s="161"/>
      <c r="J20" s="185" t="s">
        <v>60</v>
      </c>
      <c r="K20" s="161"/>
      <c r="L20" s="161"/>
      <c r="M20" s="161"/>
      <c r="N20" s="161"/>
      <c r="O20" s="161"/>
      <c r="P20" s="58">
        <f ca="1">IF(P9="YES",E27-P18,E27)</f>
        <v>125976.2258</v>
      </c>
      <c r="Q20" s="161"/>
      <c r="R20" s="164"/>
    </row>
    <row r="21" spans="1:18" ht="13" x14ac:dyDescent="0.3">
      <c r="A21" s="159"/>
      <c r="B21" s="174"/>
      <c r="C21" s="161"/>
      <c r="D21" s="161"/>
      <c r="E21" s="186"/>
      <c r="F21" s="162"/>
      <c r="G21" s="161"/>
      <c r="H21" s="163"/>
      <c r="I21" s="161"/>
      <c r="J21" s="161"/>
      <c r="K21" s="161"/>
      <c r="L21" s="161"/>
      <c r="M21" s="161"/>
      <c r="N21" s="161"/>
      <c r="O21" s="161"/>
      <c r="P21" s="161"/>
      <c r="Q21" s="161"/>
      <c r="R21" s="164"/>
    </row>
    <row r="22" spans="1:18" ht="13" x14ac:dyDescent="0.25">
      <c r="A22" s="159"/>
      <c r="B22" s="161"/>
      <c r="C22" s="161"/>
      <c r="D22" s="161"/>
      <c r="E22" s="161"/>
      <c r="F22" s="161"/>
      <c r="G22" s="161"/>
      <c r="H22" s="163"/>
      <c r="I22" s="307" t="s">
        <v>85</v>
      </c>
      <c r="J22" s="308"/>
      <c r="K22" s="308"/>
      <c r="L22" s="308"/>
      <c r="M22" s="308"/>
      <c r="N22" s="308"/>
      <c r="O22" s="308"/>
      <c r="P22" s="308"/>
      <c r="Q22" s="308"/>
      <c r="R22" s="309"/>
    </row>
    <row r="23" spans="1:18" ht="13" x14ac:dyDescent="0.25">
      <c r="A23" s="307" t="s">
        <v>86</v>
      </c>
      <c r="B23" s="308"/>
      <c r="C23" s="308"/>
      <c r="D23" s="308"/>
      <c r="E23" s="308"/>
      <c r="F23" s="308"/>
      <c r="G23" s="309"/>
      <c r="H23" s="163"/>
      <c r="I23" s="161"/>
      <c r="J23" s="60"/>
      <c r="K23" s="161"/>
      <c r="L23" s="161"/>
      <c r="M23" s="161"/>
      <c r="N23" s="161"/>
      <c r="O23" s="161"/>
      <c r="P23" s="161"/>
      <c r="Q23" s="161"/>
      <c r="R23" s="164"/>
    </row>
    <row r="24" spans="1:18" ht="13" x14ac:dyDescent="0.3">
      <c r="A24" s="159"/>
      <c r="B24" s="177"/>
      <c r="C24" s="161"/>
      <c r="D24" s="161"/>
      <c r="E24" s="51"/>
      <c r="F24" s="161"/>
      <c r="G24" s="161"/>
      <c r="H24" s="163"/>
      <c r="I24" s="161"/>
      <c r="J24" s="170" t="s">
        <v>87</v>
      </c>
      <c r="K24" s="161"/>
      <c r="L24" s="161"/>
      <c r="M24" s="161"/>
      <c r="N24" s="161"/>
      <c r="O24" s="161"/>
      <c r="P24" s="187">
        <f ca="1">PMT(E35/12,E41,-P20)</f>
        <v>516.75203995131335</v>
      </c>
      <c r="Q24" s="161"/>
      <c r="R24" s="164"/>
    </row>
    <row r="25" spans="1:18" ht="13" x14ac:dyDescent="0.3">
      <c r="A25" s="159"/>
      <c r="B25" s="72" t="s">
        <v>63</v>
      </c>
      <c r="C25" s="39"/>
      <c r="D25" s="39"/>
      <c r="E25" s="54">
        <f>Inputs!N29</f>
        <v>112920.66</v>
      </c>
      <c r="F25" s="161"/>
      <c r="G25" s="161"/>
      <c r="H25" s="163"/>
      <c r="I25" s="161"/>
      <c r="J25" s="174" t="s">
        <v>88</v>
      </c>
      <c r="K25" s="161"/>
      <c r="L25" s="161"/>
      <c r="M25" s="161"/>
      <c r="N25" s="161"/>
      <c r="O25" s="161"/>
      <c r="P25" s="187">
        <f ca="1">P24+E14+E15+E16+E17</f>
        <v>516.75203995131335</v>
      </c>
      <c r="Q25" s="161"/>
      <c r="R25" s="164"/>
    </row>
    <row r="26" spans="1:18" ht="13" x14ac:dyDescent="0.3">
      <c r="A26" s="159"/>
      <c r="B26" s="72" t="str">
        <f>IF(Inputs!N18&gt;0,"Arrears and Forbearance","Total Eligible Arrears")</f>
        <v>Total Eligible Arrears</v>
      </c>
      <c r="C26" s="39"/>
      <c r="D26" s="39"/>
      <c r="E26" s="54">
        <f ca="1">Inputs!$N$36</f>
        <v>13055.5658</v>
      </c>
      <c r="F26" s="188" t="str">
        <f>IF(infotype=3,"","+")</f>
        <v>+</v>
      </c>
      <c r="G26" s="161"/>
      <c r="H26" s="163"/>
      <c r="I26" s="161"/>
      <c r="J26" s="174"/>
      <c r="K26" s="161"/>
      <c r="L26" s="161"/>
      <c r="M26" s="161"/>
      <c r="N26" s="161"/>
      <c r="O26" s="161"/>
      <c r="P26" s="138"/>
      <c r="Q26" s="161"/>
      <c r="R26" s="164"/>
    </row>
    <row r="27" spans="1:18" ht="13" x14ac:dyDescent="0.3">
      <c r="A27" s="159"/>
      <c r="B27" s="45" t="s">
        <v>65</v>
      </c>
      <c r="C27" s="45"/>
      <c r="D27" s="45"/>
      <c r="E27" s="58">
        <f ca="1">SUM(E25:E26)</f>
        <v>125976.2258</v>
      </c>
      <c r="F27" s="179"/>
      <c r="G27" s="161"/>
      <c r="H27" s="163"/>
      <c r="I27" s="161"/>
      <c r="J27" s="170" t="s">
        <v>89</v>
      </c>
      <c r="K27" s="161"/>
      <c r="L27" s="161"/>
      <c r="M27" s="161"/>
      <c r="N27" s="161"/>
      <c r="O27" s="161"/>
      <c r="P27" s="161"/>
      <c r="Q27" s="175"/>
      <c r="R27" s="164"/>
    </row>
    <row r="28" spans="1:18" x14ac:dyDescent="0.25">
      <c r="A28" s="159"/>
      <c r="B28" s="161"/>
      <c r="C28" s="161"/>
      <c r="D28" s="161"/>
      <c r="E28" s="51"/>
      <c r="F28" s="161"/>
      <c r="G28" s="161"/>
      <c r="H28" s="163"/>
      <c r="I28" s="161"/>
      <c r="J28" s="161"/>
      <c r="K28" s="161" t="s">
        <v>90</v>
      </c>
      <c r="L28" s="161"/>
      <c r="M28" s="161"/>
      <c r="N28" s="161"/>
      <c r="O28" s="161"/>
      <c r="P28" s="172" t="e">
        <f>IF(Inputs!#REF!="YES",(Inputs!#REF!)/GMI,((P25+Inputs!#REF!)/GMI))</f>
        <v>#REF!</v>
      </c>
      <c r="Q28" s="161"/>
      <c r="R28" s="164"/>
    </row>
    <row r="29" spans="1:18" ht="13" x14ac:dyDescent="0.3">
      <c r="A29" s="159"/>
      <c r="B29" s="161"/>
      <c r="C29" s="161"/>
      <c r="D29" s="161"/>
      <c r="E29" s="51"/>
      <c r="F29" s="161"/>
      <c r="G29" s="161"/>
      <c r="H29" s="163"/>
      <c r="I29" s="161"/>
      <c r="J29" s="161"/>
      <c r="K29" s="161" t="s">
        <v>91</v>
      </c>
      <c r="L29" s="161"/>
      <c r="M29" s="161"/>
      <c r="N29" s="161"/>
      <c r="O29" s="161"/>
      <c r="P29" s="176" t="e">
        <f>IF(OR(P28&gt;0.55,P28&lt;0.1),"NO","YES")</f>
        <v>#REF!</v>
      </c>
      <c r="Q29" s="161"/>
      <c r="R29" s="164"/>
    </row>
    <row r="30" spans="1:18" ht="13" x14ac:dyDescent="0.3">
      <c r="A30" s="307" t="str">
        <f ca="1">IF(AND(Owner&lt;3,UPB&lt;0.8*Value),"SET FIXED RATE","REDUCE INTEREST RATE")</f>
        <v>SET FIXED RATE</v>
      </c>
      <c r="B30" s="308"/>
      <c r="C30" s="308"/>
      <c r="D30" s="308"/>
      <c r="E30" s="308"/>
      <c r="F30" s="308"/>
      <c r="G30" s="309"/>
      <c r="H30" s="163"/>
      <c r="I30" s="161"/>
      <c r="J30" s="161"/>
      <c r="K30" s="161"/>
      <c r="L30" s="161"/>
      <c r="M30" s="161"/>
      <c r="N30" s="161"/>
      <c r="O30" s="161"/>
      <c r="P30" s="189"/>
      <c r="Q30" s="161"/>
      <c r="R30" s="164"/>
    </row>
    <row r="31" spans="1:18" x14ac:dyDescent="0.25">
      <c r="A31" s="159"/>
      <c r="B31" s="161"/>
      <c r="C31" s="161"/>
      <c r="D31" s="161"/>
      <c r="E31" s="51"/>
      <c r="F31" s="161"/>
      <c r="G31" s="161"/>
      <c r="H31" s="163"/>
      <c r="I31" s="161"/>
      <c r="J31" s="170" t="s">
        <v>92</v>
      </c>
      <c r="K31" s="161"/>
      <c r="L31" s="161"/>
      <c r="M31" s="161"/>
      <c r="N31" s="161"/>
      <c r="O31" s="161"/>
      <c r="P31" s="162"/>
      <c r="Q31" s="191"/>
      <c r="R31" s="164"/>
    </row>
    <row r="32" spans="1:18" ht="13" x14ac:dyDescent="0.3">
      <c r="A32" s="159"/>
      <c r="B32" s="13" t="str">
        <f ca="1">IF(AND(MTMLTV&lt;0.8,OR(RateType="Fixed Rate",Inputs!N11=Inputs!N14)),"Keep Current Rate:","Lesser of:")</f>
        <v>Keep Current Rate:</v>
      </c>
      <c r="C32" s="1"/>
      <c r="D32" s="1"/>
      <c r="E32" s="1"/>
      <c r="F32" s="174"/>
      <c r="G32" s="170"/>
      <c r="H32" s="190"/>
      <c r="I32" s="161"/>
      <c r="J32" s="161"/>
      <c r="K32" s="170" t="s">
        <v>93</v>
      </c>
      <c r="L32" s="170"/>
      <c r="M32" s="170"/>
      <c r="N32" s="161"/>
      <c r="O32" s="161"/>
      <c r="P32" s="172">
        <f ca="1">(E13-P24)/E13</f>
        <v>0.15727255834029696</v>
      </c>
      <c r="Q32" s="191"/>
      <c r="R32" s="164"/>
    </row>
    <row r="33" spans="1:18" ht="13.5" x14ac:dyDescent="0.3">
      <c r="A33" s="159"/>
      <c r="B33" s="90" t="str">
        <f ca="1">IF(AND(MTMLTV&lt;0.8,OR(RateType="Fixed Rate",Inputs!N11=Inputs!N14)),"",IF(Owner=1,"Fannie Mae Mod Rate",IF(Owner=2,"Freddie Standard Mod Rate",0)))</f>
        <v/>
      </c>
      <c r="C33" s="206"/>
      <c r="D33" s="1"/>
      <c r="E33" s="133">
        <f>Inputs!N6</f>
        <v>3.125E-2</v>
      </c>
      <c r="F33" s="174"/>
      <c r="G33" s="170"/>
      <c r="H33" s="190"/>
      <c r="I33" s="161"/>
      <c r="J33" s="161"/>
      <c r="K33" s="161" t="s">
        <v>91</v>
      </c>
      <c r="L33" s="161"/>
      <c r="M33" s="161"/>
      <c r="N33" s="161"/>
      <c r="O33" s="161"/>
      <c r="P33" s="176" t="str">
        <f ca="1">IF(P32&gt;=0,"YES","NO")</f>
        <v>YES</v>
      </c>
      <c r="Q33" s="162"/>
      <c r="R33" s="164"/>
    </row>
    <row r="34" spans="1:18" ht="13" x14ac:dyDescent="0.3">
      <c r="A34" s="159"/>
      <c r="B34" s="69" t="s">
        <v>94</v>
      </c>
      <c r="C34" s="2"/>
      <c r="D34" s="2"/>
      <c r="E34" s="134">
        <f>Inputs!N11</f>
        <v>3.875E-2</v>
      </c>
      <c r="F34" s="174"/>
      <c r="G34" s="170"/>
      <c r="H34" s="190"/>
      <c r="I34" s="161"/>
      <c r="J34" s="161"/>
      <c r="K34" s="161"/>
      <c r="L34" s="161"/>
      <c r="M34" s="161"/>
      <c r="N34" s="161"/>
      <c r="O34" s="161"/>
      <c r="P34" s="189"/>
      <c r="Q34" s="162"/>
      <c r="R34" s="164"/>
    </row>
    <row r="35" spans="1:18" ht="12.75" customHeight="1" x14ac:dyDescent="0.3">
      <c r="A35" s="159"/>
      <c r="B35" s="45" t="s">
        <v>72</v>
      </c>
      <c r="C35" s="49"/>
      <c r="D35" s="39"/>
      <c r="E35" s="135">
        <f ca="1">VLOOKUP(RateType,RateTable,3,FALSE)</f>
        <v>3.875E-2</v>
      </c>
      <c r="F35" s="174"/>
      <c r="G35" s="170"/>
      <c r="H35" s="190"/>
      <c r="I35" s="310" t="e">
        <f ca="1">IF(PIREDUCTION="YES",IF(P29="YES","Modification Results","Streamline Modification Only"),"Borrower Ineligible")</f>
        <v>#REF!</v>
      </c>
      <c r="J35" s="311"/>
      <c r="K35" s="311"/>
      <c r="L35" s="311"/>
      <c r="M35" s="311"/>
      <c r="N35" s="311"/>
      <c r="O35" s="311"/>
      <c r="P35" s="311"/>
      <c r="Q35" s="311"/>
      <c r="R35" s="312"/>
    </row>
    <row r="36" spans="1:18" ht="13" x14ac:dyDescent="0.3">
      <c r="A36" s="159"/>
      <c r="B36" s="161"/>
      <c r="C36" s="161"/>
      <c r="D36" s="161"/>
      <c r="E36" s="161"/>
      <c r="F36" s="174"/>
      <c r="G36" s="161"/>
      <c r="H36" s="190"/>
      <c r="I36" s="161"/>
      <c r="J36" s="177" t="str">
        <f>IF(P35="Maybe","Client's eligibility depends on servicer specific requirements","")</f>
        <v/>
      </c>
      <c r="K36" s="161"/>
      <c r="L36" s="161"/>
      <c r="M36" s="161"/>
      <c r="N36" s="161"/>
      <c r="O36" s="161"/>
      <c r="P36" s="161"/>
      <c r="Q36" s="161"/>
      <c r="R36" s="164"/>
    </row>
    <row r="37" spans="1:18" ht="13" x14ac:dyDescent="0.3">
      <c r="A37" s="159"/>
      <c r="B37" s="174"/>
      <c r="C37" s="174"/>
      <c r="D37" s="174"/>
      <c r="E37" s="61"/>
      <c r="F37" s="174"/>
      <c r="G37" s="161"/>
      <c r="H37" s="163"/>
      <c r="I37" s="39"/>
      <c r="J37" s="72" t="s">
        <v>73</v>
      </c>
      <c r="K37" s="39"/>
      <c r="L37" s="39"/>
      <c r="M37" s="39"/>
      <c r="N37" s="39"/>
      <c r="O37" s="39"/>
      <c r="P37" s="139">
        <f ca="1">-PMT(E35/12,480,P39-P40)</f>
        <v>516.75203995131335</v>
      </c>
      <c r="Q37" s="40"/>
      <c r="R37" s="89"/>
    </row>
    <row r="38" spans="1:18" ht="13" x14ac:dyDescent="0.3">
      <c r="A38" s="159"/>
      <c r="B38" s="174"/>
      <c r="C38" s="161"/>
      <c r="D38" s="161"/>
      <c r="E38" s="161"/>
      <c r="F38" s="161"/>
      <c r="G38" s="161"/>
      <c r="H38" s="163"/>
      <c r="I38" s="39"/>
      <c r="J38" s="72" t="s">
        <v>74</v>
      </c>
      <c r="K38" s="39"/>
      <c r="L38" s="39"/>
      <c r="M38" s="39"/>
      <c r="N38" s="39"/>
      <c r="O38" s="39"/>
      <c r="P38" s="140">
        <f ca="1">SUM(P37,E14:E16)</f>
        <v>516.75203995131335</v>
      </c>
      <c r="Q38" s="40"/>
      <c r="R38" s="89"/>
    </row>
    <row r="39" spans="1:18" ht="13" x14ac:dyDescent="0.25">
      <c r="A39" s="307" t="s">
        <v>95</v>
      </c>
      <c r="B39" s="308"/>
      <c r="C39" s="308"/>
      <c r="D39" s="308"/>
      <c r="E39" s="308"/>
      <c r="F39" s="308"/>
      <c r="G39" s="309"/>
      <c r="H39" s="163"/>
      <c r="I39" s="39"/>
      <c r="J39" s="137" t="s">
        <v>75</v>
      </c>
      <c r="K39" s="39"/>
      <c r="L39" s="39"/>
      <c r="M39" s="39"/>
      <c r="N39" s="39"/>
      <c r="O39" s="39"/>
      <c r="P39" s="139">
        <f ca="1">E27</f>
        <v>125976.2258</v>
      </c>
      <c r="Q39" s="40"/>
      <c r="R39" s="89"/>
    </row>
    <row r="40" spans="1:18" ht="12.75" customHeight="1" x14ac:dyDescent="0.35">
      <c r="A40" s="159"/>
      <c r="B40" s="161"/>
      <c r="C40" s="161"/>
      <c r="D40" s="161"/>
      <c r="E40" s="62"/>
      <c r="F40" s="161"/>
      <c r="G40" s="161"/>
      <c r="H40" s="163"/>
      <c r="I40" s="39"/>
      <c r="J40" s="137" t="s">
        <v>77</v>
      </c>
      <c r="K40" s="39"/>
      <c r="L40" s="39"/>
      <c r="M40" s="39"/>
      <c r="N40" s="39"/>
      <c r="O40" s="39"/>
      <c r="P40" s="141">
        <f ca="1">P39-P20</f>
        <v>0</v>
      </c>
      <c r="Q40" s="87"/>
      <c r="R40" s="89"/>
    </row>
    <row r="41" spans="1:18" ht="12.75" customHeight="1" x14ac:dyDescent="0.3">
      <c r="A41" s="159"/>
      <c r="B41" s="174" t="s">
        <v>79</v>
      </c>
      <c r="C41" s="161"/>
      <c r="D41" s="161"/>
      <c r="E41" s="192">
        <v>480</v>
      </c>
      <c r="F41" s="170" t="s">
        <v>80</v>
      </c>
      <c r="G41" s="161"/>
      <c r="H41" s="163"/>
      <c r="I41" s="39"/>
      <c r="J41" s="72" t="s">
        <v>78</v>
      </c>
      <c r="K41" s="39"/>
      <c r="L41" s="39"/>
      <c r="M41" s="39"/>
      <c r="N41" s="39"/>
      <c r="O41" s="39"/>
      <c r="P41" s="142">
        <f ca="1">E35</f>
        <v>3.875E-2</v>
      </c>
      <c r="Q41" s="40"/>
      <c r="R41" s="89"/>
    </row>
    <row r="42" spans="1:18" x14ac:dyDescent="0.25">
      <c r="A42" s="159"/>
      <c r="B42" s="161"/>
      <c r="C42" s="161"/>
      <c r="D42" s="161"/>
      <c r="E42" s="161"/>
      <c r="F42" s="161"/>
      <c r="G42" s="161"/>
      <c r="H42" s="163"/>
      <c r="I42" s="39"/>
      <c r="J42" s="72" t="s">
        <v>81</v>
      </c>
      <c r="K42" s="39"/>
      <c r="L42" s="39"/>
      <c r="M42" s="39"/>
      <c r="N42" s="39"/>
      <c r="O42" s="39"/>
      <c r="P42" s="143">
        <v>480</v>
      </c>
      <c r="Q42" s="39"/>
      <c r="R42" s="89"/>
    </row>
    <row r="43" spans="1:18" x14ac:dyDescent="0.25">
      <c r="A43" s="193" t="str">
        <f>VLOOKUP(Owner,Current,3)</f>
        <v>Current as of FNMA Servicing Announcement 2015-12</v>
      </c>
      <c r="B43" s="194"/>
      <c r="C43" s="194"/>
      <c r="D43" s="194"/>
      <c r="E43" s="194"/>
      <c r="F43" s="194"/>
      <c r="G43" s="194"/>
      <c r="H43" s="163"/>
      <c r="I43" s="194"/>
      <c r="J43" s="194"/>
      <c r="K43" s="194"/>
      <c r="L43" s="194"/>
      <c r="M43" s="194"/>
      <c r="N43" s="194"/>
      <c r="O43" s="194"/>
      <c r="P43" s="194"/>
      <c r="Q43" s="195" t="s">
        <v>40</v>
      </c>
      <c r="R43" s="196"/>
    </row>
  </sheetData>
  <sheetProtection sheet="1" objects="1" scenarios="1"/>
  <mergeCells count="8">
    <mergeCell ref="A39:G39"/>
    <mergeCell ref="I35:R35"/>
    <mergeCell ref="A1:R1"/>
    <mergeCell ref="I3:R3"/>
    <mergeCell ref="D4:E4"/>
    <mergeCell ref="I22:R22"/>
    <mergeCell ref="A23:G23"/>
    <mergeCell ref="A30:G30"/>
  </mergeCells>
  <conditionalFormatting sqref="D4:E6">
    <cfRule type="expression" dxfId="4" priority="10">
      <formula>IF($B$2="RENTAL PROPERTIES AREN'T TIER 1 ELIGIBLE",1,0)</formula>
    </cfRule>
  </conditionalFormatting>
  <conditionalFormatting sqref="A28:H31 A25:A27 F25:H27 A36:H43 A32:A35 F32:H35 I1:R2 J21:R34 I43:R43 J36:R36 I21:I36 A1:H24">
    <cfRule type="expression" dxfId="3" priority="14" stopIfTrue="1">
      <formula>IF($Q$43="MFY Legal Services Inc.'s Proprietary Waterfall Worksheet",0,1)</formula>
    </cfRule>
  </conditionalFormatting>
  <conditionalFormatting sqref="J11:P20">
    <cfRule type="expression" dxfId="2" priority="2">
      <formula>IF($P$9="NO",1,0)</formula>
    </cfRule>
  </conditionalFormatting>
  <conditionalFormatting sqref="J37:P42">
    <cfRule type="expression" dxfId="1" priority="1">
      <formula>IF($P$33="NO",1,0)</formula>
    </cfRule>
  </conditionalFormatting>
  <pageMargins left="0.75" right="0.75" top="1" bottom="1" header="0.5" footer="0.5"/>
  <pageSetup scale="82" orientation="landscape" r:id="rId1"/>
  <headerFooter alignWithMargins="0">
    <oddHeader>&amp;L&amp;14&amp;F&amp;10
Run on: &amp;D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2" id="{814D45F5-F8BD-49C7-B4F2-3D94A117C8C2}">
            <xm:f>IF(AND(MTMLTV&lt;0.8,OR(RateType="Fixed Rate",Inputs!N11=Inputs!N14)),1,0)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 style="thin">
                  <color auto="1"/>
                </bottom>
                <vertical/>
                <horizontal/>
              </border>
            </x14:dxf>
          </x14:cfRule>
          <xm:sqref>E33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4"/>
  <sheetViews>
    <sheetView workbookViewId="0">
      <selection activeCell="F38" sqref="F38"/>
    </sheetView>
  </sheetViews>
  <sheetFormatPr defaultRowHeight="12.5" x14ac:dyDescent="0.25"/>
  <cols>
    <col min="3" max="3" width="19.08984375" customWidth="1"/>
    <col min="4" max="4" width="16" customWidth="1"/>
    <col min="5" max="5" width="17.81640625" customWidth="1"/>
    <col min="11" max="11" width="11.1796875" customWidth="1"/>
    <col min="13" max="13" width="17.08984375" customWidth="1"/>
    <col min="15" max="15" width="22.26953125" bestFit="1" customWidth="1"/>
    <col min="16" max="16" width="12.54296875" customWidth="1"/>
  </cols>
  <sheetData>
    <row r="1" spans="1:16" x14ac:dyDescent="0.25">
      <c r="A1" t="s">
        <v>96</v>
      </c>
      <c r="B1">
        <f>IF(Inputs!N5="Fannie Mae",1,2)</f>
        <v>1</v>
      </c>
    </row>
    <row r="2" spans="1:16" x14ac:dyDescent="0.25">
      <c r="A2" t="s">
        <v>97</v>
      </c>
      <c r="B2">
        <f>IF(Payoff="Only Default Date",1,IF(Payoff="UPB at Default",2,IF(Payoff="Capitalized UPB",3)))</f>
        <v>2</v>
      </c>
      <c r="D2" t="s">
        <v>98</v>
      </c>
      <c r="E2" t="s">
        <v>99</v>
      </c>
      <c r="F2">
        <f ca="1">IF(OR(Inputs!N6&gt;Inputs!N14,AND(Inputs!N11=Inputs!N14,MTMLTV&lt;0.8)),Inputs!N14,Inputs!N6)</f>
        <v>3.125E-2</v>
      </c>
      <c r="G2">
        <f ca="1">IF(OR(Inputs!N6&gt;Inputs!N14,AND(Inputs!N11=Inputs!N14,CMTMLTV&lt;0.8)),Inputs!N14,Inputs!N6)</f>
        <v>3.125E-2</v>
      </c>
      <c r="K2" s="67" t="s">
        <v>111</v>
      </c>
      <c r="M2" s="210">
        <f ca="1">PV(Flex!E36/12,480,-Flex!E13)</f>
        <v>149486.32211607657</v>
      </c>
      <c r="O2" s="67" t="s">
        <v>119</v>
      </c>
      <c r="P2" s="243">
        <f ca="1">PV(Flex!E36/12,480,-0.35*GMI+SUM(Flex!E14:E16))</f>
        <v>138652.53135817373</v>
      </c>
    </row>
    <row r="3" spans="1:16" x14ac:dyDescent="0.25">
      <c r="A3" s="67" t="s">
        <v>100</v>
      </c>
      <c r="B3">
        <f ca="1">UPB/Value</f>
        <v>0.50390490320000003</v>
      </c>
      <c r="D3" t="s">
        <v>16</v>
      </c>
      <c r="E3" t="str">
        <f>""</f>
        <v/>
      </c>
      <c r="F3">
        <f ca="1">IF(AND(MTMLTV&gt;0.8,Inputs!N11&gt;Inputs!N6),Inputs!N6,Inputs!N11)</f>
        <v>3.875E-2</v>
      </c>
      <c r="G3">
        <f ca="1">IF(AND(CMTMLTV&gt;0.8,Inputs!N11&gt;Inputs!N6),Inputs!N6,Inputs!N11)</f>
        <v>3.875E-2</v>
      </c>
      <c r="K3" s="67" t="s">
        <v>115</v>
      </c>
      <c r="M3" s="210">
        <f ca="1">Flex!P6</f>
        <v>125976.2258</v>
      </c>
      <c r="O3" s="67" t="s">
        <v>115</v>
      </c>
      <c r="P3" s="210">
        <f ca="1">Flex!P6</f>
        <v>125976.2258</v>
      </c>
    </row>
    <row r="4" spans="1:16" x14ac:dyDescent="0.25">
      <c r="A4" s="67" t="s">
        <v>158</v>
      </c>
      <c r="B4">
        <f ca="1">(UPB-HAF)/Value</f>
        <v>0.50390490320000003</v>
      </c>
      <c r="D4" t="s">
        <v>101</v>
      </c>
      <c r="E4" t="s">
        <v>102</v>
      </c>
      <c r="F4">
        <f ca="1">IF(OR(Inputs!N6&gt;Inputs!N14,AND(Inputs!N11=Inputs!N14,MTMLTV&lt;0.8)),Inputs!N14,Inputs!N6)</f>
        <v>3.125E-2</v>
      </c>
      <c r="G4">
        <f ca="1">IF(OR(Inputs!N6&gt;Inputs!N14,AND(Inputs!N11=Inputs!N14,CMTMLTV&lt;0.8)),Inputs!N14,Inputs!N6)</f>
        <v>3.125E-2</v>
      </c>
      <c r="K4" s="67" t="s">
        <v>112</v>
      </c>
      <c r="M4" s="210">
        <f>0.8*Value</f>
        <v>200000</v>
      </c>
      <c r="O4" s="67" t="s">
        <v>114</v>
      </c>
      <c r="P4" s="210">
        <f>Value</f>
        <v>250000</v>
      </c>
    </row>
    <row r="5" spans="1:16" x14ac:dyDescent="0.25">
      <c r="K5" s="67" t="s">
        <v>113</v>
      </c>
      <c r="M5" s="211">
        <f ca="1">Flex!P6*0.7</f>
        <v>88183.358059999999</v>
      </c>
      <c r="O5" s="67" t="s">
        <v>121</v>
      </c>
      <c r="P5" s="211">
        <f ca="1">P2/0.7</f>
        <v>198075.04479739105</v>
      </c>
    </row>
    <row r="6" spans="1:16" x14ac:dyDescent="0.25">
      <c r="A6" s="5">
        <v>1</v>
      </c>
      <c r="B6" s="130" t="s">
        <v>103</v>
      </c>
      <c r="C6" s="130" t="s">
        <v>104</v>
      </c>
      <c r="K6" s="67" t="s">
        <v>117</v>
      </c>
      <c r="M6" s="211">
        <f ca="1">MIN(MAX(M4:M5),M3)</f>
        <v>125976.2258</v>
      </c>
      <c r="O6" s="67" t="s">
        <v>117</v>
      </c>
      <c r="P6" s="211">
        <f ca="1">MAX(P2,P4)</f>
        <v>250000</v>
      </c>
    </row>
    <row r="7" spans="1:16" x14ac:dyDescent="0.25">
      <c r="A7" s="7">
        <v>2</v>
      </c>
      <c r="B7" s="69" t="s">
        <v>105</v>
      </c>
      <c r="C7" s="69" t="s">
        <v>106</v>
      </c>
      <c r="K7" s="67" t="s">
        <v>116</v>
      </c>
      <c r="M7" s="210">
        <f ca="1">M3-M6</f>
        <v>0</v>
      </c>
      <c r="O7" s="67" t="s">
        <v>116</v>
      </c>
      <c r="P7" s="211">
        <f ca="1">P5-P6</f>
        <v>-51924.955202608951</v>
      </c>
    </row>
    <row r="8" spans="1:16" x14ac:dyDescent="0.25">
      <c r="K8" s="67" t="s">
        <v>118</v>
      </c>
      <c r="M8" s="211">
        <f ca="1">M3-M7-M2</f>
        <v>-23510.096316076568</v>
      </c>
      <c r="O8" s="67" t="s">
        <v>118</v>
      </c>
      <c r="P8" s="211">
        <f ca="1">IF(P4&gt;P2,P3-P2,P3-P5)</f>
        <v>-12676.305558173728</v>
      </c>
    </row>
    <row r="10" spans="1:16" x14ac:dyDescent="0.25">
      <c r="K10" s="67" t="s">
        <v>111</v>
      </c>
      <c r="M10" s="210">
        <f>PV('COVID Flex'!E36/12,480,-'COVID Flex'!E13)</f>
        <v>167893.41945498067</v>
      </c>
      <c r="O10" s="67" t="s">
        <v>119</v>
      </c>
      <c r="P10" s="243">
        <f>PV('COVID Flex'!E36/12,480,-0.35*GMI+SUM('COVID Flex'!E14:E16))</f>
        <v>155725.60269251006</v>
      </c>
    </row>
    <row r="11" spans="1:16" x14ac:dyDescent="0.25">
      <c r="K11" s="67" t="s">
        <v>115</v>
      </c>
      <c r="M11" s="211">
        <f ca="1">'COVID Flex'!P6</f>
        <v>125976.2258</v>
      </c>
      <c r="O11" s="67" t="s">
        <v>115</v>
      </c>
      <c r="P11" s="210">
        <f ca="1">M11</f>
        <v>125976.2258</v>
      </c>
    </row>
    <row r="12" spans="1:16" x14ac:dyDescent="0.25">
      <c r="D12" s="67" t="s">
        <v>145</v>
      </c>
      <c r="E12" s="242" t="s">
        <v>146</v>
      </c>
      <c r="K12" s="67" t="s">
        <v>112</v>
      </c>
      <c r="M12" s="210">
        <f>0.8*Value</f>
        <v>200000</v>
      </c>
      <c r="O12" s="67" t="s">
        <v>114</v>
      </c>
      <c r="P12" s="210">
        <f>Value</f>
        <v>250000</v>
      </c>
    </row>
    <row r="13" spans="1:16" x14ac:dyDescent="0.25">
      <c r="B13">
        <v>1</v>
      </c>
      <c r="C13" s="67" t="s">
        <v>147</v>
      </c>
      <c r="D13">
        <f ca="1">IF(OR(Inputs!N28&lt;3,Inputs!N26&lt;DATE(2020,1,1),'Flex (HAF)'!PIREDUCTION&lt;'COVID Flex (HAF)'!PIREDUCTION),1,0)</f>
        <v>0</v>
      </c>
      <c r="E13">
        <f ca="1">IF(NOT(D13),1,0)</f>
        <v>1</v>
      </c>
      <c r="K13" s="67" t="s">
        <v>113</v>
      </c>
      <c r="M13" s="211">
        <f ca="1">M11*0.7</f>
        <v>88183.358059999999</v>
      </c>
      <c r="O13" s="67" t="s">
        <v>121</v>
      </c>
      <c r="P13" s="210">
        <f>P10/0.7</f>
        <v>222465.14670358581</v>
      </c>
    </row>
    <row r="14" spans="1:16" x14ac:dyDescent="0.25">
      <c r="B14">
        <v>2</v>
      </c>
      <c r="C14" s="67" t="s">
        <v>115</v>
      </c>
      <c r="D14" s="210">
        <f ca="1">'Flex (HAF)'!UPB</f>
        <v>125976.2258</v>
      </c>
      <c r="E14" s="210">
        <f ca="1">'COVID Flex (HAF)'!UPB</f>
        <v>125976.2258</v>
      </c>
      <c r="K14" s="67" t="s">
        <v>117</v>
      </c>
      <c r="M14" s="211">
        <f ca="1">MIN(MAX(M12:M13),M11)</f>
        <v>125976.2258</v>
      </c>
      <c r="O14" s="67" t="s">
        <v>117</v>
      </c>
      <c r="P14" s="210">
        <f ca="1">MIN(P11,MAX(P12:P13))</f>
        <v>125976.2258</v>
      </c>
    </row>
    <row r="15" spans="1:16" x14ac:dyDescent="0.25">
      <c r="B15">
        <v>3</v>
      </c>
      <c r="C15" s="67" t="s">
        <v>133</v>
      </c>
      <c r="D15" s="240">
        <f ca="1">'Flex (HAF)'!E36</f>
        <v>3.875E-2</v>
      </c>
      <c r="E15" s="240">
        <f>'COVID Flex (HAF)'!E36</f>
        <v>3.125E-2</v>
      </c>
      <c r="H15" s="217">
        <f ca="1">IF(Outcome!E25&lt;=Flex!E13,1,0)</f>
        <v>1</v>
      </c>
      <c r="I15" s="217"/>
      <c r="J15" s="217"/>
      <c r="K15" s="67" t="s">
        <v>116</v>
      </c>
      <c r="M15" s="211">
        <f ca="1">M11-M14</f>
        <v>0</v>
      </c>
      <c r="O15" s="67" t="s">
        <v>116</v>
      </c>
      <c r="P15" s="210">
        <f>P13-P10</f>
        <v>66739.544011075748</v>
      </c>
    </row>
    <row r="16" spans="1:16" x14ac:dyDescent="0.25">
      <c r="B16">
        <v>4</v>
      </c>
      <c r="C16" s="67" t="s">
        <v>138</v>
      </c>
      <c r="H16">
        <f ca="1">IF(Outcome!K31&lt;=Flex!E13,1,0)</f>
        <v>1</v>
      </c>
      <c r="K16" s="67" t="s">
        <v>118</v>
      </c>
      <c r="M16" s="211">
        <f ca="1">M14-M10</f>
        <v>-41917.193654980671</v>
      </c>
      <c r="O16" s="67" t="s">
        <v>120</v>
      </c>
      <c r="P16" s="211">
        <f ca="1">IF(P12&gt;P10,P11-P10,P11-P13)</f>
        <v>-29749.376892510059</v>
      </c>
    </row>
    <row r="17" spans="2:12" x14ac:dyDescent="0.25">
      <c r="B17">
        <v>5</v>
      </c>
      <c r="C17" s="67" t="s">
        <v>139</v>
      </c>
      <c r="D17" s="211">
        <f ca="1">IF(D14&lt;Value,0,D14-Value)</f>
        <v>0</v>
      </c>
      <c r="E17" s="211">
        <f ca="1">IF(E14&lt;Value,0,E14-Value)</f>
        <v>0</v>
      </c>
    </row>
    <row r="18" spans="2:12" x14ac:dyDescent="0.25">
      <c r="B18">
        <v>6</v>
      </c>
      <c r="C18" s="67" t="s">
        <v>113</v>
      </c>
      <c r="D18" s="211">
        <f ca="1">0.3*D14</f>
        <v>37792.867740000002</v>
      </c>
      <c r="E18" s="211">
        <f ca="1">0.3*E14</f>
        <v>37792.867740000002</v>
      </c>
    </row>
    <row r="19" spans="2:12" x14ac:dyDescent="0.25">
      <c r="B19">
        <v>7</v>
      </c>
      <c r="C19" s="67" t="s">
        <v>72</v>
      </c>
      <c r="D19" s="211">
        <f ca="1">'Flex (HAF)'!P18</f>
        <v>0</v>
      </c>
      <c r="E19" s="211">
        <f ca="1">'COVID Flex (HAF)'!P18</f>
        <v>0</v>
      </c>
      <c r="K19" s="67" t="s">
        <v>129</v>
      </c>
      <c r="L19">
        <f ca="1">IF(AND('Result Calculations'!C4="Yes",'Result Calculations'!C6="N/A"),1,0)</f>
        <v>1</v>
      </c>
    </row>
    <row r="20" spans="2:12" x14ac:dyDescent="0.25">
      <c r="B20">
        <v>8</v>
      </c>
      <c r="C20" s="67" t="s">
        <v>141</v>
      </c>
      <c r="D20" s="211">
        <f ca="1">'Flex (HAF)'!P27</f>
        <v>6387.1681071387429</v>
      </c>
      <c r="E20" s="211">
        <f ca="1">'COVID Flex (HAF)'!P26</f>
        <v>0</v>
      </c>
      <c r="K20" s="67" t="s">
        <v>130</v>
      </c>
      <c r="L20">
        <f ca="1">IF(AND('Result Calculations'!C15="Yes",'Result Calculations'!C17="N/A"),1,0)</f>
        <v>1</v>
      </c>
    </row>
    <row r="21" spans="2:12" x14ac:dyDescent="0.25">
      <c r="B21">
        <v>9</v>
      </c>
      <c r="C21" s="67" t="s">
        <v>142</v>
      </c>
      <c r="D21" s="211">
        <f ca="1">MIN('Flex (HAF)'!P30:P31)-D19</f>
        <v>0</v>
      </c>
      <c r="E21" s="211">
        <f ca="1">MIN('COVID Flex (HAF)'!P29:P30)-'COVID Flex (HAF)'!P18</f>
        <v>0</v>
      </c>
    </row>
    <row r="22" spans="2:12" x14ac:dyDescent="0.25">
      <c r="B22">
        <v>10</v>
      </c>
      <c r="C22" s="67" t="s">
        <v>72</v>
      </c>
      <c r="D22" s="211">
        <f ca="1">'Flex (HAF)'!P32</f>
        <v>0</v>
      </c>
      <c r="E22" s="211">
        <f ca="1">'COVID Flex (HAF)'!P31</f>
        <v>0</v>
      </c>
    </row>
    <row r="23" spans="2:12" x14ac:dyDescent="0.25">
      <c r="B23">
        <v>11</v>
      </c>
      <c r="C23" s="67" t="s">
        <v>143</v>
      </c>
      <c r="D23" s="211">
        <f ca="1">'Flex (HAF)'!P36</f>
        <v>516.75203995131335</v>
      </c>
      <c r="E23" s="210">
        <f ca="1">'COVID Flex (HAF)'!P35</f>
        <v>460.0976151957874</v>
      </c>
    </row>
    <row r="24" spans="2:12" x14ac:dyDescent="0.25">
      <c r="B24">
        <v>12</v>
      </c>
      <c r="C24" s="67" t="s">
        <v>144</v>
      </c>
      <c r="D24" s="211">
        <f ca="1">'Flex (HAF)'!P37</f>
        <v>516.75203995131335</v>
      </c>
      <c r="E24" s="210">
        <f ca="1">'COVID Flex (HAF)'!P36</f>
        <v>460.0976151957874</v>
      </c>
    </row>
    <row r="25" spans="2:12" x14ac:dyDescent="0.25">
      <c r="B25">
        <v>13</v>
      </c>
      <c r="C25" s="67" t="s">
        <v>115</v>
      </c>
      <c r="D25" s="211">
        <f ca="1">'Flex (HAF)'!P38</f>
        <v>125976.2258</v>
      </c>
      <c r="E25" s="210">
        <f ca="1">'COVID Flex (HAF)'!P37</f>
        <v>125976.2258</v>
      </c>
    </row>
    <row r="26" spans="2:12" x14ac:dyDescent="0.25">
      <c r="B26">
        <v>14</v>
      </c>
      <c r="C26" s="67" t="s">
        <v>53</v>
      </c>
      <c r="D26" s="211">
        <f ca="1">'Flex (HAF)'!P39</f>
        <v>0</v>
      </c>
      <c r="E26" s="210">
        <f ca="1">'COVID Flex (HAF)'!P38</f>
        <v>0</v>
      </c>
    </row>
    <row r="27" spans="2:12" x14ac:dyDescent="0.25">
      <c r="B27">
        <v>15</v>
      </c>
      <c r="C27" s="67" t="s">
        <v>133</v>
      </c>
      <c r="D27" s="240">
        <f ca="1">'Flex (HAF)'!P40</f>
        <v>3.875E-2</v>
      </c>
      <c r="E27" s="240">
        <f>'COVID Flex (HAF)'!P39</f>
        <v>3.125E-2</v>
      </c>
    </row>
    <row r="28" spans="2:12" x14ac:dyDescent="0.25">
      <c r="B28">
        <v>16</v>
      </c>
      <c r="C28" s="67" t="s">
        <v>134</v>
      </c>
      <c r="D28" s="241">
        <f>'Flex (HAF)'!P41</f>
        <v>480</v>
      </c>
      <c r="E28">
        <f>'COVID Flex (HAF)'!P40</f>
        <v>480</v>
      </c>
    </row>
    <row r="29" spans="2:12" x14ac:dyDescent="0.25">
      <c r="B29">
        <v>17</v>
      </c>
      <c r="C29" s="67" t="s">
        <v>148</v>
      </c>
      <c r="D29" s="67" t="s">
        <v>149</v>
      </c>
      <c r="E29" s="67" t="s">
        <v>150</v>
      </c>
    </row>
    <row r="30" spans="2:12" x14ac:dyDescent="0.25">
      <c r="B30">
        <v>18</v>
      </c>
      <c r="C30" s="67" t="s">
        <v>155</v>
      </c>
      <c r="D30" s="67" t="str">
        <f ca="1">IF(AND(CMTMLTV&lt;0.8,OR(RateType="Fixed Rate",Inputs!N11=Inputs!N14)),"Keep Current Rate",E30)</f>
        <v>Keep Current Rate</v>
      </c>
      <c r="E30" s="67" t="s">
        <v>162</v>
      </c>
    </row>
    <row r="31" spans="2:12" x14ac:dyDescent="0.25">
      <c r="B31">
        <v>19</v>
      </c>
      <c r="C31" s="67" t="s">
        <v>159</v>
      </c>
      <c r="D31" s="271">
        <f ca="1">'Flex (HAF)'!P25</f>
        <v>119589.05769286126</v>
      </c>
      <c r="E31" s="271">
        <f>'COVID Flex (HAF)'!P25</f>
        <v>134314.73556398455</v>
      </c>
    </row>
    <row r="32" spans="2:12" x14ac:dyDescent="0.25">
      <c r="B32">
        <v>20</v>
      </c>
      <c r="C32" s="67" t="s">
        <v>160</v>
      </c>
      <c r="D32" s="271">
        <f ca="1">'Flex (HAF)'!P26</f>
        <v>158460.03583791282</v>
      </c>
      <c r="E32" s="67">
        <v>0</v>
      </c>
    </row>
    <row r="35" spans="2:5" x14ac:dyDescent="0.25">
      <c r="B35">
        <v>1</v>
      </c>
      <c r="C35" s="67" t="s">
        <v>147</v>
      </c>
      <c r="D35">
        <f ca="1">IF(OR(Inputs!N28&lt;3,Inputs!N26&lt;DATE(2020,1,1),Flex!PIREDUCTION&lt;PIREDUCTION),1,0)</f>
        <v>0</v>
      </c>
      <c r="E35">
        <f ca="1">IF(NOT(D35),1,0)</f>
        <v>1</v>
      </c>
    </row>
    <row r="36" spans="2:5" x14ac:dyDescent="0.25">
      <c r="B36">
        <v>2</v>
      </c>
      <c r="C36" s="67" t="s">
        <v>115</v>
      </c>
      <c r="D36" s="248">
        <f ca="1">Flex!UPB</f>
        <v>125976.2258</v>
      </c>
      <c r="E36" s="248">
        <f ca="1">UPB</f>
        <v>125976.2258</v>
      </c>
    </row>
    <row r="37" spans="2:5" x14ac:dyDescent="0.25">
      <c r="B37">
        <v>3</v>
      </c>
      <c r="C37" s="67" t="s">
        <v>133</v>
      </c>
      <c r="D37" s="249">
        <f ca="1">Flex!E36</f>
        <v>3.875E-2</v>
      </c>
      <c r="E37" s="249">
        <f>'COVID Flex'!E36</f>
        <v>3.125E-2</v>
      </c>
    </row>
    <row r="38" spans="2:5" x14ac:dyDescent="0.25">
      <c r="B38">
        <v>4</v>
      </c>
      <c r="C38" s="67" t="s">
        <v>138</v>
      </c>
      <c r="D38" s="4"/>
      <c r="E38" s="4"/>
    </row>
    <row r="39" spans="2:5" x14ac:dyDescent="0.25">
      <c r="B39">
        <v>5</v>
      </c>
      <c r="C39" s="67" t="s">
        <v>139</v>
      </c>
      <c r="D39" s="211">
        <f ca="1">IF(D36&lt;Value,0,D36-Value)</f>
        <v>0</v>
      </c>
      <c r="E39" s="211">
        <f ca="1">IF(E36&lt;Value,0,E36-Value)</f>
        <v>0</v>
      </c>
    </row>
    <row r="40" spans="2:5" x14ac:dyDescent="0.25">
      <c r="B40">
        <v>6</v>
      </c>
      <c r="C40" s="67" t="s">
        <v>113</v>
      </c>
      <c r="D40" s="248">
        <f ca="1">0.3*D36</f>
        <v>37792.867740000002</v>
      </c>
      <c r="E40" s="248">
        <f ca="1">0.3*E36</f>
        <v>37792.867740000002</v>
      </c>
    </row>
    <row r="41" spans="2:5" x14ac:dyDescent="0.25">
      <c r="B41">
        <v>7</v>
      </c>
      <c r="C41" s="67" t="s">
        <v>72</v>
      </c>
      <c r="D41" s="248">
        <f ca="1">Flex!P18</f>
        <v>0</v>
      </c>
      <c r="E41" s="248">
        <f ca="1">'COVID Flex'!P18</f>
        <v>0</v>
      </c>
    </row>
    <row r="42" spans="2:5" x14ac:dyDescent="0.25">
      <c r="B42">
        <v>8</v>
      </c>
      <c r="C42" s="67" t="s">
        <v>141</v>
      </c>
      <c r="D42" s="248">
        <f ca="1">Flex!P27</f>
        <v>6387.1681071387429</v>
      </c>
      <c r="E42" s="248">
        <f ca="1">'COVID Flex'!P26</f>
        <v>0</v>
      </c>
    </row>
    <row r="43" spans="2:5" x14ac:dyDescent="0.25">
      <c r="B43">
        <v>9</v>
      </c>
      <c r="C43" s="67" t="s">
        <v>142</v>
      </c>
      <c r="D43" s="248">
        <f ca="1">MIN(Flex!P30:P31)-D41</f>
        <v>0</v>
      </c>
      <c r="E43" s="248">
        <f ca="1">MIN('COVID Flex'!P29:P30)-E41</f>
        <v>0</v>
      </c>
    </row>
    <row r="44" spans="2:5" x14ac:dyDescent="0.25">
      <c r="B44">
        <v>10</v>
      </c>
      <c r="C44" s="67" t="s">
        <v>72</v>
      </c>
      <c r="D44" s="248">
        <f ca="1">Flex!P32</f>
        <v>0</v>
      </c>
      <c r="E44" s="248">
        <f ca="1">'COVID Flex'!P31</f>
        <v>0</v>
      </c>
    </row>
    <row r="45" spans="2:5" x14ac:dyDescent="0.25">
      <c r="B45">
        <v>11</v>
      </c>
      <c r="C45" s="67" t="s">
        <v>143</v>
      </c>
      <c r="D45" s="250">
        <f ca="1">Flex!P36</f>
        <v>516.75203995131335</v>
      </c>
      <c r="E45" s="250">
        <f ca="1">'COVID Flex'!P35</f>
        <v>460.0976151957874</v>
      </c>
    </row>
    <row r="46" spans="2:5" x14ac:dyDescent="0.25">
      <c r="B46">
        <v>12</v>
      </c>
      <c r="C46" s="67" t="s">
        <v>144</v>
      </c>
      <c r="D46" s="250">
        <f ca="1">Flex!P37</f>
        <v>516.75203995131335</v>
      </c>
      <c r="E46" s="250">
        <f ca="1">'COVID Flex'!P36</f>
        <v>460.0976151957874</v>
      </c>
    </row>
    <row r="47" spans="2:5" x14ac:dyDescent="0.25">
      <c r="B47">
        <v>13</v>
      </c>
      <c r="C47" s="67" t="s">
        <v>115</v>
      </c>
      <c r="D47" s="250">
        <f ca="1">Flex!P38</f>
        <v>125976.2258</v>
      </c>
      <c r="E47" s="250">
        <f ca="1">'COVID Flex'!P37</f>
        <v>125976.2258</v>
      </c>
    </row>
    <row r="48" spans="2:5" x14ac:dyDescent="0.25">
      <c r="B48">
        <v>14</v>
      </c>
      <c r="C48" s="67" t="s">
        <v>53</v>
      </c>
      <c r="D48" s="250">
        <f ca="1">Flex!P39</f>
        <v>0</v>
      </c>
      <c r="E48" s="250">
        <f ca="1">'COVID Flex'!P38</f>
        <v>0</v>
      </c>
    </row>
    <row r="49" spans="2:5" x14ac:dyDescent="0.25">
      <c r="B49">
        <v>15</v>
      </c>
      <c r="C49" s="67" t="s">
        <v>133</v>
      </c>
      <c r="D49" s="249">
        <f ca="1">Flex!P40</f>
        <v>3.875E-2</v>
      </c>
      <c r="E49" s="249">
        <f>'COVID Flex'!P39</f>
        <v>3.125E-2</v>
      </c>
    </row>
    <row r="50" spans="2:5" x14ac:dyDescent="0.25">
      <c r="B50">
        <v>16</v>
      </c>
      <c r="C50" s="67" t="s">
        <v>134</v>
      </c>
      <c r="D50" s="251">
        <f>Flex!P41</f>
        <v>480</v>
      </c>
      <c r="E50" s="251">
        <f>'COVID Flex'!P40</f>
        <v>480</v>
      </c>
    </row>
    <row r="51" spans="2:5" x14ac:dyDescent="0.25">
      <c r="B51">
        <v>17</v>
      </c>
      <c r="C51" s="67" t="s">
        <v>148</v>
      </c>
      <c r="D51" s="67" t="s">
        <v>131</v>
      </c>
      <c r="E51" s="67" t="s">
        <v>132</v>
      </c>
    </row>
    <row r="52" spans="2:5" x14ac:dyDescent="0.25">
      <c r="B52">
        <v>18</v>
      </c>
      <c r="C52" s="67" t="s">
        <v>155</v>
      </c>
      <c r="D52" s="67" t="str">
        <f ca="1">IF(AND(MTMLTV&lt;0.8,OR(RateType="Fixed Rate",Inputs!N34=Inputs!N36)),"Keep Current Rate",E52)</f>
        <v>Keep Current Rate</v>
      </c>
      <c r="E52" s="67" t="s">
        <v>162</v>
      </c>
    </row>
    <row r="53" spans="2:5" x14ac:dyDescent="0.25">
      <c r="B53">
        <v>19</v>
      </c>
      <c r="C53" s="67" t="s">
        <v>159</v>
      </c>
      <c r="D53" s="211">
        <f ca="1">Flex!P25</f>
        <v>119589.05769286126</v>
      </c>
      <c r="E53" s="211">
        <f>'COVID Flex'!P25</f>
        <v>134314.73556398455</v>
      </c>
    </row>
    <row r="54" spans="2:5" x14ac:dyDescent="0.25">
      <c r="B54">
        <v>20</v>
      </c>
      <c r="C54" s="67" t="s">
        <v>160</v>
      </c>
      <c r="D54" s="211">
        <f ca="1">Flex!P26</f>
        <v>158460.03583791282</v>
      </c>
      <c r="E5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CACAB-B143-4FD0-9DB1-0E005E42D01C}">
  <sheetPr>
    <tabColor rgb="FF0000FF"/>
    <pageSetUpPr autoPageBreaks="0"/>
  </sheetPr>
  <dimension ref="A1:V43"/>
  <sheetViews>
    <sheetView showGridLines="0" zoomScaleNormal="100" workbookViewId="0">
      <selection activeCell="P14" sqref="P14"/>
    </sheetView>
  </sheetViews>
  <sheetFormatPr defaultColWidth="9.1796875" defaultRowHeight="12.5" x14ac:dyDescent="0.25"/>
  <cols>
    <col min="1" max="1" width="3" style="36" customWidth="1"/>
    <col min="2" max="3" width="9.1796875" style="36"/>
    <col min="4" max="4" width="12.7265625" style="36" customWidth="1"/>
    <col min="5" max="5" width="15.453125" style="36" customWidth="1"/>
    <col min="6" max="6" width="8.81640625" style="36" customWidth="1"/>
    <col min="7" max="7" width="10" style="36" customWidth="1"/>
    <col min="8" max="8" width="4.453125" style="36" customWidth="1"/>
    <col min="9" max="9" width="6.453125" style="36" customWidth="1"/>
    <col min="10" max="10" width="6.26953125" style="36" customWidth="1"/>
    <col min="11" max="11" width="12.81640625" style="36" customWidth="1"/>
    <col min="12" max="12" width="7.453125" style="36" customWidth="1"/>
    <col min="13" max="13" width="3.1796875" style="36" customWidth="1"/>
    <col min="14" max="14" width="4.7265625" style="36" customWidth="1"/>
    <col min="15" max="15" width="10.453125" style="36" customWidth="1"/>
    <col min="16" max="16" width="17.7265625" style="36" customWidth="1"/>
    <col min="17" max="17" width="2.1796875" style="36" customWidth="1"/>
    <col min="18" max="18" width="2.7265625" style="75" customWidth="1"/>
    <col min="19" max="19" width="9.1796875" style="36"/>
    <col min="20" max="21" width="11.54296875" style="36" bestFit="1" customWidth="1"/>
    <col min="22" max="22" width="10.26953125" style="36" bestFit="1" customWidth="1"/>
    <col min="23" max="16384" width="9.1796875" style="36"/>
  </cols>
  <sheetData>
    <row r="1" spans="1:18" ht="17.5" x14ac:dyDescent="0.35">
      <c r="A1" s="295" t="str">
        <f>IF(Owner=1,"FANNIE MAE FLEX MODIFICATION","FREDDIE MAC FLEX MODIFICATION")</f>
        <v>FANNIE MAE FLEX MODIFICATION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7"/>
    </row>
    <row r="2" spans="1:18" x14ac:dyDescent="0.25">
      <c r="A2" s="33"/>
      <c r="B2" s="74" t="str">
        <f>IF(Q43="MFY's Proprietary Waterfall Worksheet for HAMP Tiers 1 and 2","","MFY's Proprietary Waterfall Worksheet for HAMP Tiers 1 and 2")</f>
        <v>MFY's Proprietary Waterfall Worksheet for HAMP Tiers 1 and 2</v>
      </c>
      <c r="C2" s="34"/>
      <c r="D2" s="34"/>
      <c r="E2" s="34"/>
      <c r="F2" s="34"/>
      <c r="G2" s="34"/>
      <c r="H2" s="35"/>
      <c r="I2" s="34"/>
      <c r="J2" s="34"/>
      <c r="K2" s="34"/>
      <c r="L2" s="34"/>
      <c r="M2" s="34"/>
      <c r="N2" s="34"/>
      <c r="O2" s="34"/>
      <c r="P2" s="34"/>
      <c r="Q2" s="34"/>
      <c r="R2" s="92"/>
    </row>
    <row r="3" spans="1:18" ht="12.75" customHeight="1" x14ac:dyDescent="0.25">
      <c r="A3" s="37"/>
      <c r="B3" s="38"/>
      <c r="C3" s="39"/>
      <c r="D3" s="40"/>
      <c r="E3" s="39"/>
      <c r="F3" s="39"/>
      <c r="G3" s="39"/>
      <c r="H3" s="41"/>
      <c r="I3" s="292" t="s">
        <v>41</v>
      </c>
      <c r="J3" s="293"/>
      <c r="K3" s="293"/>
      <c r="L3" s="293"/>
      <c r="M3" s="293"/>
      <c r="N3" s="293"/>
      <c r="O3" s="293"/>
      <c r="P3" s="293"/>
      <c r="Q3" s="293"/>
      <c r="R3" s="294"/>
    </row>
    <row r="4" spans="1:18" ht="13" x14ac:dyDescent="0.25">
      <c r="A4" s="37"/>
      <c r="B4" s="39"/>
      <c r="C4" s="39"/>
      <c r="D4" s="298" t="s">
        <v>1</v>
      </c>
      <c r="E4" s="298"/>
      <c r="F4" s="39"/>
      <c r="G4" s="39"/>
      <c r="H4" s="41"/>
      <c r="I4" s="39"/>
      <c r="J4" s="39"/>
      <c r="K4" s="39"/>
      <c r="L4" s="39"/>
      <c r="M4" s="39"/>
      <c r="N4" s="39"/>
      <c r="O4" s="39"/>
      <c r="P4" s="39"/>
      <c r="Q4" s="39"/>
      <c r="R4" s="89"/>
    </row>
    <row r="5" spans="1:18" x14ac:dyDescent="0.25">
      <c r="A5" s="37"/>
      <c r="B5" s="39"/>
      <c r="C5" s="39"/>
      <c r="D5" s="104" t="s">
        <v>3</v>
      </c>
      <c r="E5" s="105" t="s">
        <v>4</v>
      </c>
      <c r="F5" s="39"/>
      <c r="G5" s="39"/>
      <c r="H5" s="41"/>
      <c r="I5" s="39"/>
      <c r="J5" s="39" t="s">
        <v>42</v>
      </c>
      <c r="K5" s="39"/>
      <c r="L5" s="39"/>
      <c r="M5" s="39"/>
      <c r="N5" s="39"/>
      <c r="O5" s="39"/>
      <c r="P5" s="202">
        <f>Value</f>
        <v>250000</v>
      </c>
      <c r="Q5" s="39"/>
      <c r="R5" s="89"/>
    </row>
    <row r="6" spans="1:18" x14ac:dyDescent="0.25">
      <c r="A6" s="37"/>
      <c r="B6" s="42"/>
      <c r="C6" s="42"/>
      <c r="D6" s="106" t="s">
        <v>5</v>
      </c>
      <c r="E6" s="107" t="s">
        <v>6</v>
      </c>
      <c r="F6" s="39"/>
      <c r="G6" s="39"/>
      <c r="H6" s="41"/>
      <c r="I6" s="39"/>
      <c r="J6" s="72" t="s">
        <v>43</v>
      </c>
      <c r="K6" s="39"/>
      <c r="L6" s="39"/>
      <c r="M6" s="39"/>
      <c r="N6" s="39"/>
      <c r="O6" s="39"/>
      <c r="P6" s="43">
        <f ca="1">UPB</f>
        <v>125976.2258</v>
      </c>
      <c r="Q6" s="39"/>
      <c r="R6" s="203"/>
    </row>
    <row r="7" spans="1:18" ht="13" x14ac:dyDescent="0.3">
      <c r="A7" s="37"/>
      <c r="B7" s="39"/>
      <c r="C7" s="39"/>
      <c r="D7" s="39"/>
      <c r="E7" s="39"/>
      <c r="F7" s="39"/>
      <c r="G7" s="39"/>
      <c r="H7" s="41"/>
      <c r="I7" s="39"/>
      <c r="J7" s="39" t="s">
        <v>44</v>
      </c>
      <c r="K7" s="39"/>
      <c r="L7" s="39"/>
      <c r="M7" s="39"/>
      <c r="N7" s="39"/>
      <c r="O7" s="39"/>
      <c r="P7" s="44">
        <f ca="1">P6/P5</f>
        <v>0.50390490320000003</v>
      </c>
      <c r="Q7" s="85"/>
      <c r="R7" s="203"/>
    </row>
    <row r="8" spans="1:18" ht="13" x14ac:dyDescent="0.3">
      <c r="A8" s="37"/>
      <c r="B8" s="45" t="s">
        <v>39</v>
      </c>
      <c r="C8" s="45"/>
      <c r="D8" s="45"/>
      <c r="E8" s="46">
        <f>GMI</f>
        <v>1625</v>
      </c>
      <c r="F8" s="39"/>
      <c r="G8" s="39"/>
      <c r="H8" s="41"/>
      <c r="I8" s="39"/>
      <c r="J8" s="39"/>
      <c r="K8" s="39"/>
      <c r="L8" s="39"/>
      <c r="M8" s="39"/>
      <c r="N8" s="39"/>
      <c r="O8" s="39"/>
      <c r="P8" s="47"/>
      <c r="Q8" s="39"/>
      <c r="R8" s="203"/>
    </row>
    <row r="9" spans="1:18" ht="13" x14ac:dyDescent="0.3">
      <c r="A9" s="37"/>
      <c r="B9" s="39"/>
      <c r="C9" s="39"/>
      <c r="D9" s="39"/>
      <c r="E9" s="39"/>
      <c r="F9" s="39"/>
      <c r="G9" s="39"/>
      <c r="H9" s="41"/>
      <c r="I9" s="39"/>
      <c r="J9" s="45" t="s">
        <v>45</v>
      </c>
      <c r="K9" s="39"/>
      <c r="L9" s="39"/>
      <c r="M9" s="39"/>
      <c r="N9" s="39"/>
      <c r="O9" s="39"/>
      <c r="P9" s="48" t="str">
        <f ca="1">IF(P7&gt;1,"YES","NO")</f>
        <v>NO</v>
      </c>
      <c r="Q9" s="39"/>
      <c r="R9" s="203"/>
    </row>
    <row r="10" spans="1:18" ht="13" x14ac:dyDescent="0.3">
      <c r="A10" s="37"/>
      <c r="B10" s="39"/>
      <c r="C10" s="39"/>
      <c r="D10" s="39"/>
      <c r="E10" s="39"/>
      <c r="F10" s="39"/>
      <c r="G10" s="39"/>
      <c r="H10" s="41"/>
      <c r="I10" s="39"/>
      <c r="J10" s="39"/>
      <c r="K10" s="49" t="str">
        <f ca="1">IF(P9="No","Proceed to Step 5","")</f>
        <v>Proceed to Step 5</v>
      </c>
      <c r="L10" s="49"/>
      <c r="M10" s="49"/>
      <c r="N10" s="39"/>
      <c r="O10" s="39"/>
      <c r="P10" s="39"/>
      <c r="Q10" s="39"/>
      <c r="R10" s="89"/>
    </row>
    <row r="11" spans="1:18" ht="15.5" x14ac:dyDescent="0.35">
      <c r="A11" s="37"/>
      <c r="B11" s="50" t="s">
        <v>46</v>
      </c>
      <c r="C11" s="39"/>
      <c r="D11" s="39"/>
      <c r="E11" s="51"/>
      <c r="F11" s="39"/>
      <c r="G11" s="39"/>
      <c r="H11" s="41"/>
      <c r="I11" s="39"/>
      <c r="J11" s="45" t="s">
        <v>47</v>
      </c>
      <c r="K11" s="45"/>
      <c r="L11" s="45"/>
      <c r="M11" s="45"/>
      <c r="N11" s="45"/>
      <c r="O11" s="45"/>
      <c r="P11" s="52"/>
      <c r="Q11" s="39"/>
      <c r="R11" s="89"/>
    </row>
    <row r="12" spans="1:18" ht="13" x14ac:dyDescent="0.3">
      <c r="A12" s="37"/>
      <c r="B12" s="39"/>
      <c r="C12" s="39"/>
      <c r="D12" s="39"/>
      <c r="E12" s="51"/>
      <c r="F12" s="39"/>
      <c r="G12" s="39"/>
      <c r="H12" s="41"/>
      <c r="I12" s="39"/>
      <c r="J12" s="72" t="s">
        <v>48</v>
      </c>
      <c r="K12" s="45"/>
      <c r="L12" s="45"/>
      <c r="M12" s="45"/>
      <c r="N12" s="45"/>
      <c r="O12" s="45"/>
      <c r="P12" s="45"/>
      <c r="Q12" s="39"/>
      <c r="R12" s="89"/>
    </row>
    <row r="13" spans="1:18" ht="13" x14ac:dyDescent="0.3">
      <c r="A13" s="37"/>
      <c r="B13" s="72" t="s">
        <v>49</v>
      </c>
      <c r="C13" s="39"/>
      <c r="D13" s="39"/>
      <c r="E13" s="76">
        <f>IF(OR(NOT(Inputs!N12="Fixed Rate"),Inputs!N10="Mortgage Statement"),Inputs!N13,-PMT(Inputs!N11/12,Inputs!N16,Inputs!N15-Inputs!N18,-Inputs!N14))</f>
        <v>613.19000000000005</v>
      </c>
      <c r="F13" s="39"/>
      <c r="G13" s="39"/>
      <c r="H13" s="41"/>
      <c r="I13" s="39"/>
      <c r="J13" s="39"/>
      <c r="K13" s="39" t="s">
        <v>50</v>
      </c>
      <c r="L13" s="39"/>
      <c r="M13" s="39"/>
      <c r="N13" s="39"/>
      <c r="O13" s="39"/>
      <c r="P13" s="53">
        <f ca="1">IF(P9="NO",0,P5)</f>
        <v>0</v>
      </c>
      <c r="Q13" s="45"/>
      <c r="R13" s="89"/>
    </row>
    <row r="14" spans="1:18" ht="13" x14ac:dyDescent="0.3">
      <c r="A14" s="37"/>
      <c r="B14" s="39" t="s">
        <v>51</v>
      </c>
      <c r="C14" s="39"/>
      <c r="D14" s="39"/>
      <c r="E14" s="54">
        <f>Inputs!N19</f>
        <v>0</v>
      </c>
      <c r="F14" s="55" t="s">
        <v>52</v>
      </c>
      <c r="G14" s="39"/>
      <c r="H14" s="41"/>
      <c r="I14" s="39"/>
      <c r="J14" s="39"/>
      <c r="K14" s="39" t="s">
        <v>53</v>
      </c>
      <c r="L14" s="39"/>
      <c r="M14" s="39"/>
      <c r="N14" s="39"/>
      <c r="O14" s="39"/>
      <c r="P14" s="53">
        <f ca="1">IF(P9="NO",0,E28-P13)</f>
        <v>0</v>
      </c>
      <c r="Q14" s="45"/>
      <c r="R14" s="89"/>
    </row>
    <row r="15" spans="1:18" x14ac:dyDescent="0.25">
      <c r="A15" s="37"/>
      <c r="B15" s="39" t="s">
        <v>54</v>
      </c>
      <c r="C15" s="39"/>
      <c r="D15" s="39"/>
      <c r="E15" s="114">
        <f>Inputs!N20</f>
        <v>0</v>
      </c>
      <c r="F15" s="55" t="s">
        <v>52</v>
      </c>
      <c r="G15" s="39"/>
      <c r="H15" s="41"/>
      <c r="I15" s="39"/>
      <c r="J15" s="72" t="s">
        <v>55</v>
      </c>
      <c r="K15" s="39"/>
      <c r="L15" s="39"/>
      <c r="M15" s="39"/>
      <c r="N15" s="39"/>
      <c r="O15" s="39"/>
      <c r="P15" s="56"/>
      <c r="Q15" s="39"/>
      <c r="R15" s="89"/>
    </row>
    <row r="16" spans="1:18" x14ac:dyDescent="0.25">
      <c r="A16" s="37"/>
      <c r="B16" s="39" t="s">
        <v>56</v>
      </c>
      <c r="C16" s="39"/>
      <c r="D16" s="39"/>
      <c r="E16" s="64">
        <f>Inputs!N21</f>
        <v>0</v>
      </c>
      <c r="F16" s="55" t="s">
        <v>52</v>
      </c>
      <c r="G16" s="39"/>
      <c r="H16" s="41"/>
      <c r="I16" s="39"/>
      <c r="J16" s="39"/>
      <c r="K16" s="39" t="s">
        <v>50</v>
      </c>
      <c r="L16" s="39"/>
      <c r="M16" s="39"/>
      <c r="N16" s="39"/>
      <c r="O16" s="39"/>
      <c r="P16" s="112">
        <f ca="1">E28*0.7</f>
        <v>88183.358059999999</v>
      </c>
      <c r="Q16" s="39"/>
      <c r="R16" s="89"/>
    </row>
    <row r="17" spans="1:21" x14ac:dyDescent="0.25">
      <c r="A17" s="37"/>
      <c r="B17" s="40"/>
      <c r="C17" s="39"/>
      <c r="D17" s="39"/>
      <c r="E17" s="66"/>
      <c r="F17" s="57"/>
      <c r="G17" s="39"/>
      <c r="H17" s="41"/>
      <c r="I17" s="39"/>
      <c r="J17" s="39"/>
      <c r="K17" s="39" t="s">
        <v>53</v>
      </c>
      <c r="L17" s="39"/>
      <c r="M17" s="39"/>
      <c r="N17" s="39"/>
      <c r="O17" s="39"/>
      <c r="P17" s="53">
        <f ca="1">IF(P9="NO",0,E28*0.3)</f>
        <v>0</v>
      </c>
      <c r="Q17" s="39"/>
      <c r="R17" s="89"/>
    </row>
    <row r="18" spans="1:21" ht="13" x14ac:dyDescent="0.3">
      <c r="A18" s="37"/>
      <c r="B18" s="45" t="s">
        <v>38</v>
      </c>
      <c r="C18" s="45"/>
      <c r="D18" s="45"/>
      <c r="E18" s="65">
        <f>SUM(E13:E17)</f>
        <v>613.19000000000005</v>
      </c>
      <c r="F18" s="55"/>
      <c r="G18" s="39"/>
      <c r="H18" s="41"/>
      <c r="I18" s="39"/>
      <c r="J18" s="59" t="s">
        <v>57</v>
      </c>
      <c r="K18" s="39"/>
      <c r="L18" s="39"/>
      <c r="M18" s="39"/>
      <c r="N18" s="39"/>
      <c r="O18" s="39"/>
      <c r="P18" s="183">
        <f ca="1">IF(P14&lt;P17,P14,P17)</f>
        <v>0</v>
      </c>
      <c r="Q18" s="39"/>
      <c r="R18" s="89"/>
    </row>
    <row r="19" spans="1:21" x14ac:dyDescent="0.25">
      <c r="A19" s="37"/>
      <c r="B19" s="39"/>
      <c r="C19" s="39"/>
      <c r="D19" s="39"/>
      <c r="E19" s="51"/>
      <c r="F19" s="39"/>
      <c r="G19" s="39"/>
      <c r="H19" s="41"/>
      <c r="I19" s="39"/>
      <c r="J19" s="39"/>
      <c r="K19" s="39"/>
      <c r="L19" s="39"/>
      <c r="M19" s="39"/>
      <c r="N19" s="39"/>
      <c r="O19" s="39"/>
      <c r="P19" s="39"/>
      <c r="Q19" s="39"/>
      <c r="R19" s="89"/>
      <c r="U19" s="199"/>
    </row>
    <row r="20" spans="1:21" ht="13" x14ac:dyDescent="0.3">
      <c r="A20" s="37"/>
      <c r="B20" s="45" t="s">
        <v>58</v>
      </c>
      <c r="C20" s="39"/>
      <c r="D20" s="39"/>
      <c r="E20" s="131">
        <f ca="1">Inputs!N16-ROUNDUP(DAYS360(Inputs!N17,Inputs!N27)/30,0)</f>
        <v>396</v>
      </c>
      <c r="F20" s="40" t="s">
        <v>59</v>
      </c>
      <c r="G20" s="39"/>
      <c r="H20" s="41"/>
      <c r="I20" s="39"/>
      <c r="J20" s="73" t="s">
        <v>60</v>
      </c>
      <c r="K20" s="39"/>
      <c r="L20" s="39"/>
      <c r="M20" s="39"/>
      <c r="N20" s="39"/>
      <c r="O20" s="39"/>
      <c r="P20" s="58">
        <f ca="1">IF(P9="YES",E28-P18,E28)</f>
        <v>125976.2258</v>
      </c>
      <c r="Q20" s="39"/>
      <c r="R20" s="89"/>
    </row>
    <row r="21" spans="1:21" ht="13" x14ac:dyDescent="0.3">
      <c r="A21" s="37"/>
      <c r="B21" s="45"/>
      <c r="C21" s="39"/>
      <c r="D21" s="39"/>
      <c r="E21" s="77"/>
      <c r="F21" s="40"/>
      <c r="G21" s="39"/>
      <c r="H21" s="41"/>
      <c r="I21" s="39"/>
      <c r="J21" s="39"/>
      <c r="K21" s="39"/>
      <c r="L21" s="39"/>
      <c r="M21" s="39"/>
      <c r="N21" s="39"/>
      <c r="O21" s="39"/>
      <c r="P21" s="39"/>
      <c r="Q21" s="39"/>
      <c r="R21" s="89"/>
      <c r="U21" s="198"/>
    </row>
    <row r="22" spans="1:21" ht="13" x14ac:dyDescent="0.25">
      <c r="A22" s="37"/>
      <c r="B22" s="39"/>
      <c r="C22" s="39"/>
      <c r="D22" s="39"/>
      <c r="E22" s="39"/>
      <c r="F22" s="39"/>
      <c r="G22" s="39"/>
      <c r="H22" s="41"/>
      <c r="I22" s="292" t="s">
        <v>61</v>
      </c>
      <c r="J22" s="293"/>
      <c r="K22" s="293"/>
      <c r="L22" s="293"/>
      <c r="M22" s="293"/>
      <c r="N22" s="293"/>
      <c r="O22" s="293"/>
      <c r="P22" s="293"/>
      <c r="Q22" s="293"/>
      <c r="R22" s="294"/>
      <c r="U22" s="198"/>
    </row>
    <row r="23" spans="1:21" ht="13" x14ac:dyDescent="0.25">
      <c r="A23" s="292" t="s">
        <v>62</v>
      </c>
      <c r="B23" s="293"/>
      <c r="C23" s="293"/>
      <c r="D23" s="293"/>
      <c r="E23" s="293"/>
      <c r="F23" s="293"/>
      <c r="G23" s="294"/>
      <c r="H23" s="41"/>
      <c r="I23" s="39"/>
      <c r="J23" s="60"/>
      <c r="K23" s="39"/>
      <c r="L23" s="39"/>
      <c r="M23" s="39"/>
      <c r="N23" s="39"/>
      <c r="O23" s="39"/>
      <c r="P23" s="39"/>
      <c r="Q23" s="39"/>
      <c r="R23" s="89"/>
      <c r="U23" s="199"/>
    </row>
    <row r="24" spans="1:21" ht="13" x14ac:dyDescent="0.3">
      <c r="A24" s="37"/>
      <c r="B24" s="49"/>
      <c r="C24" s="39"/>
      <c r="D24" s="39"/>
      <c r="E24" s="51"/>
      <c r="F24" s="39"/>
      <c r="G24" s="39"/>
      <c r="H24" s="41"/>
      <c r="J24" s="151" t="str">
        <f ca="1">IF(Inputs!N28&gt;3,"Borrower Over 90 Days in Default. Target P&amp;I Reduction Only","Borrower Less Than 90 Days Delinquent. Target P&amp;I Reduction and HTI")</f>
        <v>Borrower Over 90 Days in Default. Target P&amp;I Reduction Only</v>
      </c>
      <c r="K24" s="149"/>
      <c r="L24" s="149"/>
      <c r="M24" s="149"/>
      <c r="N24" s="149"/>
      <c r="O24" s="149"/>
      <c r="P24" s="149"/>
      <c r="Q24" s="149"/>
      <c r="R24" s="150"/>
    </row>
    <row r="25" spans="1:21" x14ac:dyDescent="0.25">
      <c r="A25" s="37"/>
      <c r="B25" s="72" t="s">
        <v>63</v>
      </c>
      <c r="C25" s="39"/>
      <c r="D25" s="39"/>
      <c r="E25" s="54">
        <f>Inputs!N29</f>
        <v>112920.66</v>
      </c>
      <c r="F25" s="72" t="s">
        <v>52</v>
      </c>
      <c r="G25" s="39"/>
      <c r="H25" s="41"/>
      <c r="I25" s="39"/>
      <c r="J25" s="72" t="s">
        <v>64</v>
      </c>
      <c r="K25" s="39"/>
      <c r="L25" s="39"/>
      <c r="M25" s="39"/>
      <c r="N25" s="39"/>
      <c r="O25" s="39"/>
      <c r="P25" s="204">
        <f ca="1">-PV(E36/12,E42,E13*0.8)</f>
        <v>119589.05769286126</v>
      </c>
      <c r="Q25" s="39"/>
      <c r="R25" s="89"/>
    </row>
    <row r="26" spans="1:21" x14ac:dyDescent="0.25">
      <c r="A26" s="37"/>
      <c r="B26" s="72" t="str">
        <f>IF(Inputs!N18&gt;0,"Arrears and Forbearance","Total Eligible Arrears")</f>
        <v>Total Eligible Arrears</v>
      </c>
      <c r="C26" s="39"/>
      <c r="D26" s="39"/>
      <c r="E26" s="54">
        <f ca="1">Inputs!$N$36</f>
        <v>13055.5658</v>
      </c>
      <c r="F26" s="71" t="s">
        <v>126</v>
      </c>
      <c r="G26" s="39"/>
      <c r="H26" s="41"/>
      <c r="I26" s="39"/>
      <c r="J26" s="136" t="str">
        <f ca="1">IF(Inputs!N28&gt;3,"","Target Amortizing UPB for 40% HTI")</f>
        <v/>
      </c>
      <c r="P26" s="144">
        <f ca="1">-PV(E36/12,E42,0.4*GMI-(SUM(E14:E16)))</f>
        <v>158460.03583791282</v>
      </c>
      <c r="Q26" s="39"/>
      <c r="R26" s="89"/>
    </row>
    <row r="27" spans="1:21" x14ac:dyDescent="0.25">
      <c r="A27" s="37"/>
      <c r="B27" s="72" t="s">
        <v>120</v>
      </c>
      <c r="C27" s="39"/>
      <c r="D27" s="39"/>
      <c r="E27" s="54">
        <f>HAF</f>
        <v>0</v>
      </c>
      <c r="F27" s="71"/>
      <c r="G27" s="39"/>
      <c r="H27" s="41"/>
      <c r="J27" s="136" t="s">
        <v>66</v>
      </c>
      <c r="P27" s="144">
        <f ca="1">IF(OR(Inputs!N28&gt;3,'Flex (HAF)'!P26&gt;'Flex (HAF)'!P25),IF(P25&gt;P20,0,P20-P25),IF(P26&gt;P20,0,P20-P26))</f>
        <v>6387.1681071387429</v>
      </c>
      <c r="Q27" s="39"/>
      <c r="R27" s="89"/>
    </row>
    <row r="28" spans="1:21" ht="13" x14ac:dyDescent="0.3">
      <c r="A28" s="37"/>
      <c r="B28" s="45" t="s">
        <v>65</v>
      </c>
      <c r="C28" s="45"/>
      <c r="D28" s="45"/>
      <c r="E28" s="58">
        <f ca="1">SUM(E25:E26)-E27</f>
        <v>125976.2258</v>
      </c>
      <c r="F28" s="55"/>
      <c r="G28" s="39"/>
      <c r="H28" s="41"/>
      <c r="I28" s="39"/>
      <c r="Q28" s="47"/>
      <c r="R28" s="89"/>
      <c r="U28" s="199"/>
    </row>
    <row r="29" spans="1:21" ht="13" x14ac:dyDescent="0.3">
      <c r="A29" s="37"/>
      <c r="B29" s="39"/>
      <c r="C29" s="39"/>
      <c r="D29" s="39"/>
      <c r="E29" s="51"/>
      <c r="F29" s="39"/>
      <c r="G29" s="39"/>
      <c r="H29" s="41"/>
      <c r="I29" s="39"/>
      <c r="J29" s="45" t="s">
        <v>67</v>
      </c>
      <c r="K29" s="39"/>
      <c r="L29" s="125"/>
      <c r="M29" s="126"/>
      <c r="N29" s="125"/>
      <c r="O29" s="124"/>
      <c r="P29" s="77"/>
      <c r="Q29" s="39"/>
      <c r="R29" s="89"/>
    </row>
    <row r="30" spans="1:21" ht="12.75" customHeight="1" x14ac:dyDescent="0.25">
      <c r="A30" s="37"/>
      <c r="B30" s="39"/>
      <c r="C30" s="39"/>
      <c r="D30" s="39"/>
      <c r="E30" s="51"/>
      <c r="F30" s="39"/>
      <c r="G30" s="39"/>
      <c r="H30" s="41"/>
      <c r="I30" s="39"/>
      <c r="J30" s="72"/>
      <c r="K30" s="72" t="s">
        <v>69</v>
      </c>
      <c r="L30" s="39"/>
      <c r="M30" s="39"/>
      <c r="N30" s="39"/>
      <c r="O30" s="39"/>
      <c r="P30" s="112">
        <f ca="1">IF(P20-P5*0.8&lt;0,0,P6-P5*0.8)</f>
        <v>0</v>
      </c>
      <c r="Q30" s="39"/>
      <c r="R30" s="89"/>
      <c r="T30" s="198"/>
    </row>
    <row r="31" spans="1:21" ht="13" x14ac:dyDescent="0.25">
      <c r="A31" s="292" t="s">
        <v>68</v>
      </c>
      <c r="B31" s="293"/>
      <c r="C31" s="293"/>
      <c r="D31" s="293"/>
      <c r="E31" s="293"/>
      <c r="F31" s="293"/>
      <c r="G31" s="294"/>
      <c r="H31" s="41"/>
      <c r="I31" s="39"/>
      <c r="J31" s="39"/>
      <c r="K31" s="72" t="s">
        <v>70</v>
      </c>
      <c r="L31" s="39"/>
      <c r="M31" s="39"/>
      <c r="N31" s="39"/>
      <c r="O31" s="39"/>
      <c r="P31" s="144">
        <f ca="1">P6-UPB*0.7</f>
        <v>37792.867740000002</v>
      </c>
      <c r="Q31" s="39"/>
      <c r="R31" s="89"/>
    </row>
    <row r="32" spans="1:21" x14ac:dyDescent="0.25">
      <c r="A32" s="37"/>
      <c r="B32" s="39"/>
      <c r="C32" s="39"/>
      <c r="D32" s="39"/>
      <c r="E32" s="51"/>
      <c r="F32" s="39"/>
      <c r="G32" s="39"/>
      <c r="H32" s="205"/>
      <c r="I32" s="39"/>
      <c r="J32" s="72" t="s">
        <v>71</v>
      </c>
      <c r="K32" s="72"/>
      <c r="L32" s="72"/>
      <c r="M32" s="72"/>
      <c r="N32" s="39"/>
      <c r="O32" s="39"/>
      <c r="P32" s="144">
        <f ca="1">MIN(P27,P31-P18,P30-P18)</f>
        <v>0</v>
      </c>
      <c r="Q32" s="39"/>
      <c r="R32" s="89"/>
    </row>
    <row r="33" spans="1:22" ht="13" x14ac:dyDescent="0.3">
      <c r="A33" s="37"/>
      <c r="B33" s="13" t="str">
        <f ca="1">IF(AND(MTMLTV&lt;0.8,OR(RateType="Fixed Rate",Inputs!N11=Inputs!N14)),"Keep Current Rate:","Lesser of:")</f>
        <v>Keep Current Rate:</v>
      </c>
      <c r="C33" s="1"/>
      <c r="D33" s="1"/>
      <c r="E33" s="1"/>
      <c r="F33" s="45"/>
      <c r="G33" s="72"/>
      <c r="H33" s="205"/>
      <c r="I33" s="39"/>
      <c r="Q33" s="86"/>
      <c r="R33" s="89"/>
      <c r="V33" s="198"/>
    </row>
    <row r="34" spans="1:22" ht="13.5" x14ac:dyDescent="0.3">
      <c r="A34" s="37"/>
      <c r="B34" s="90" t="str">
        <f ca="1">IF(AND(CMTMLTV&lt;0.8,OR(RateType="Fixed Rate",Inputs!N11=Inputs!N14)),"",IF(Owner=1,"Fannie Mae Mod Rate",IF(Owner=2,"Freddie Standard Mod Rate",0)))</f>
        <v/>
      </c>
      <c r="C34" s="206"/>
      <c r="D34" s="1"/>
      <c r="E34" s="133">
        <f>Inputs!N6</f>
        <v>3.125E-2</v>
      </c>
      <c r="F34" s="45"/>
      <c r="G34" s="72"/>
      <c r="H34" s="205"/>
      <c r="I34" s="290" t="str">
        <f ca="1">IF(-PMT(E36/12,E42,P20-P32)&gt;E13,"P&amp;I Reduction Not Possible; Borrower Ineligible","MODIFICATION RESULTS")</f>
        <v>MODIFICATION RESULTS</v>
      </c>
      <c r="J34" s="290"/>
      <c r="K34" s="290"/>
      <c r="L34" s="290"/>
      <c r="M34" s="290"/>
      <c r="N34" s="290"/>
      <c r="O34" s="290"/>
      <c r="P34" s="291"/>
      <c r="Q34" s="290"/>
      <c r="R34" s="290"/>
    </row>
    <row r="35" spans="1:22" ht="13" x14ac:dyDescent="0.3">
      <c r="A35" s="37"/>
      <c r="B35" s="69" t="str">
        <f>IF(RateType="Fixed Rate","Current Rate",Inputs!K14)</f>
        <v>Current Rate</v>
      </c>
      <c r="C35" s="2"/>
      <c r="D35" s="2"/>
      <c r="E35" s="135">
        <f>IF(RateType="Fixed Rate",Inputs!N11,Inputs!N14)</f>
        <v>3.875E-2</v>
      </c>
      <c r="F35" s="45"/>
      <c r="G35" s="72"/>
      <c r="H35" s="205"/>
      <c r="I35" s="146"/>
      <c r="J35" s="146"/>
      <c r="K35" s="146"/>
      <c r="L35" s="146"/>
      <c r="M35" s="146"/>
      <c r="N35" s="146"/>
      <c r="O35" s="146"/>
      <c r="P35" s="148"/>
      <c r="Q35" s="146"/>
      <c r="R35" s="147"/>
    </row>
    <row r="36" spans="1:22" ht="13" x14ac:dyDescent="0.3">
      <c r="A36" s="37"/>
      <c r="B36" s="45" t="s">
        <v>72</v>
      </c>
      <c r="C36" s="49"/>
      <c r="D36" s="39"/>
      <c r="E36" s="135">
        <f ca="1">VLOOKUP(RateType,RateTable,4,FALSE)</f>
        <v>3.875E-2</v>
      </c>
      <c r="F36" s="45"/>
      <c r="G36" s="72"/>
      <c r="H36" s="205"/>
      <c r="I36" s="39"/>
      <c r="J36" s="72" t="s">
        <v>73</v>
      </c>
      <c r="K36" s="39"/>
      <c r="L36" s="39"/>
      <c r="M36" s="39"/>
      <c r="N36" s="39"/>
      <c r="O36" s="39"/>
      <c r="P36" s="145">
        <f ca="1">-PMT(TierTwo/12,480,P38-P39)</f>
        <v>516.75203995131335</v>
      </c>
      <c r="Q36" s="40"/>
      <c r="R36" s="89"/>
    </row>
    <row r="37" spans="1:22" ht="13" x14ac:dyDescent="0.3">
      <c r="A37" s="37"/>
      <c r="B37" s="39"/>
      <c r="C37" s="39"/>
      <c r="D37" s="39"/>
      <c r="E37" s="39"/>
      <c r="F37" s="45"/>
      <c r="G37" s="39"/>
      <c r="H37" s="41"/>
      <c r="I37" s="39"/>
      <c r="J37" s="72" t="s">
        <v>74</v>
      </c>
      <c r="K37" s="39"/>
      <c r="L37" s="39"/>
      <c r="M37" s="39"/>
      <c r="N37" s="39"/>
      <c r="O37" s="39"/>
      <c r="P37" s="140">
        <f ca="1">PIREDUCTION+SUM(E14:E16)</f>
        <v>516.75203995131335</v>
      </c>
      <c r="Q37" s="40"/>
      <c r="R37" s="89"/>
    </row>
    <row r="38" spans="1:22" ht="13" x14ac:dyDescent="0.3">
      <c r="A38" s="37"/>
      <c r="B38" s="45"/>
      <c r="C38" s="45"/>
      <c r="D38" s="45"/>
      <c r="E38" s="61"/>
      <c r="F38" s="45"/>
      <c r="G38" s="39"/>
      <c r="H38" s="41"/>
      <c r="I38" s="39"/>
      <c r="J38" s="137" t="s">
        <v>75</v>
      </c>
      <c r="K38" s="39"/>
      <c r="L38" s="39"/>
      <c r="M38" s="39"/>
      <c r="N38" s="39"/>
      <c r="O38" s="39"/>
      <c r="P38" s="139">
        <f ca="1">UPB</f>
        <v>125976.2258</v>
      </c>
      <c r="Q38" s="40"/>
      <c r="R38" s="89"/>
    </row>
    <row r="39" spans="1:22" ht="13" x14ac:dyDescent="0.3">
      <c r="A39" s="37"/>
      <c r="B39" s="45"/>
      <c r="C39" s="39"/>
      <c r="D39" s="39"/>
      <c r="E39" s="39"/>
      <c r="F39" s="39"/>
      <c r="G39" s="39"/>
      <c r="H39" s="41"/>
      <c r="I39" s="39"/>
      <c r="J39" s="137" t="s">
        <v>77</v>
      </c>
      <c r="K39" s="39"/>
      <c r="L39" s="39"/>
      <c r="M39" s="39"/>
      <c r="N39" s="39"/>
      <c r="O39" s="39"/>
      <c r="P39" s="141">
        <f ca="1">P38-(P20-P32)</f>
        <v>0</v>
      </c>
      <c r="Q39" s="87"/>
      <c r="R39" s="89"/>
    </row>
    <row r="40" spans="1:22" ht="12.75" customHeight="1" x14ac:dyDescent="0.25">
      <c r="A40" s="292" t="s">
        <v>76</v>
      </c>
      <c r="B40" s="293"/>
      <c r="C40" s="293"/>
      <c r="D40" s="293"/>
      <c r="E40" s="293"/>
      <c r="F40" s="293"/>
      <c r="G40" s="294"/>
      <c r="H40" s="41"/>
      <c r="I40" s="39"/>
      <c r="J40" s="72" t="s">
        <v>78</v>
      </c>
      <c r="K40" s="39"/>
      <c r="L40" s="39"/>
      <c r="M40" s="39"/>
      <c r="N40" s="39"/>
      <c r="O40" s="39"/>
      <c r="P40" s="142">
        <f ca="1">E36</f>
        <v>3.875E-2</v>
      </c>
      <c r="Q40" s="40"/>
      <c r="R40" s="89"/>
    </row>
    <row r="41" spans="1:22" ht="15.5" x14ac:dyDescent="0.35">
      <c r="A41" s="37"/>
      <c r="B41" s="39"/>
      <c r="C41" s="39"/>
      <c r="D41" s="39"/>
      <c r="E41" s="62"/>
      <c r="F41" s="39"/>
      <c r="G41" s="39"/>
      <c r="H41" s="41"/>
      <c r="I41" s="39"/>
      <c r="J41" s="72" t="s">
        <v>81</v>
      </c>
      <c r="K41" s="39"/>
      <c r="L41" s="39"/>
      <c r="M41" s="39"/>
      <c r="N41" s="39"/>
      <c r="O41" s="39"/>
      <c r="P41" s="143">
        <v>480</v>
      </c>
      <c r="Q41" s="39"/>
      <c r="R41" s="89"/>
    </row>
    <row r="42" spans="1:22" ht="13" x14ac:dyDescent="0.3">
      <c r="A42" s="37"/>
      <c r="B42" s="45" t="s">
        <v>79</v>
      </c>
      <c r="C42" s="39"/>
      <c r="D42" s="39"/>
      <c r="E42" s="113">
        <v>480</v>
      </c>
      <c r="F42" s="72" t="s">
        <v>80</v>
      </c>
      <c r="G42" s="39"/>
      <c r="H42" s="41"/>
      <c r="I42" s="39"/>
      <c r="J42" s="49"/>
      <c r="K42" s="39"/>
      <c r="L42" s="39"/>
      <c r="M42" s="39"/>
      <c r="N42" s="39"/>
      <c r="O42" s="39"/>
      <c r="P42" s="39"/>
      <c r="Q42" s="39"/>
      <c r="R42" s="89"/>
    </row>
    <row r="43" spans="1:22" x14ac:dyDescent="0.25">
      <c r="A43" s="115"/>
      <c r="B43" s="63"/>
      <c r="C43" s="63"/>
      <c r="D43" s="63"/>
      <c r="E43" s="63"/>
      <c r="F43" s="63"/>
      <c r="G43" s="63"/>
      <c r="H43" s="41"/>
      <c r="I43" s="63"/>
      <c r="J43" s="63"/>
      <c r="K43" s="63"/>
      <c r="L43" s="63"/>
      <c r="M43" s="63"/>
      <c r="N43" s="63"/>
      <c r="O43" s="63"/>
      <c r="P43" s="63"/>
      <c r="Q43" s="88" t="s">
        <v>82</v>
      </c>
      <c r="R43" s="91"/>
    </row>
  </sheetData>
  <mergeCells count="8">
    <mergeCell ref="I34:R34"/>
    <mergeCell ref="A40:G40"/>
    <mergeCell ref="A1:R1"/>
    <mergeCell ref="I3:R3"/>
    <mergeCell ref="D4:E4"/>
    <mergeCell ref="I22:R22"/>
    <mergeCell ref="A23:G23"/>
    <mergeCell ref="A31:G31"/>
  </mergeCells>
  <conditionalFormatting sqref="J11:P18">
    <cfRule type="expression" dxfId="31" priority="2">
      <formula>IF($P$9="NO",1,0)</formula>
    </cfRule>
  </conditionalFormatting>
  <conditionalFormatting sqref="J36:P41">
    <cfRule type="expression" dxfId="30" priority="4">
      <formula>IF(-PMT($E$36/12,$E$42,$P$20-$P$32)&gt;$E$13,1,0)</formula>
    </cfRule>
  </conditionalFormatting>
  <pageMargins left="0.75" right="0.75" top="1" bottom="1" header="0.5" footer="0.5"/>
  <pageSetup scale="82" orientation="landscape" r:id="rId1"/>
  <headerFooter alignWithMargins="0">
    <oddHeader>&amp;L&amp;14&amp;F&amp;10
Run on: &amp;D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E6C269CB-579E-435B-A75A-B9A34A49B2B4}">
            <xm:f>IF(Inputs!N28&gt;3,1,0)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P26</xm:sqref>
        </x14:conditionalFormatting>
        <x14:conditionalFormatting xmlns:xm="http://schemas.microsoft.com/office/excel/2006/main">
          <x14:cfRule type="expression" priority="188" id="{9171BC6C-A6A6-44D7-B718-5F325F764147}">
            <xm:f>IF(AND(MTMLTV&lt;0.8,OR(RateType="Fixed Rate",Inputs!N11=Inputs!N14)),1,0)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 style="thin">
                  <color auto="1"/>
                </bottom>
                <vertical/>
                <horizontal/>
              </border>
            </x14:dxf>
          </x14:cfRule>
          <xm:sqref>E34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21CEB-49ED-43D8-960C-B7790AC8D17F}">
  <sheetPr>
    <tabColor rgb="FF0000FF"/>
    <pageSetUpPr autoPageBreaks="0"/>
  </sheetPr>
  <dimension ref="A1:V43"/>
  <sheetViews>
    <sheetView showGridLines="0" zoomScaleNormal="100" workbookViewId="0">
      <selection activeCell="E14" sqref="E14"/>
    </sheetView>
  </sheetViews>
  <sheetFormatPr defaultColWidth="9.1796875" defaultRowHeight="12.5" x14ac:dyDescent="0.25"/>
  <cols>
    <col min="1" max="1" width="3" style="36" customWidth="1"/>
    <col min="2" max="3" width="9.1796875" style="36"/>
    <col min="4" max="4" width="12.7265625" style="36" customWidth="1"/>
    <col min="5" max="5" width="15.453125" style="36" customWidth="1"/>
    <col min="6" max="6" width="8.81640625" style="36" customWidth="1"/>
    <col min="7" max="7" width="10" style="36" customWidth="1"/>
    <col min="8" max="8" width="4.453125" style="36" customWidth="1"/>
    <col min="9" max="9" width="6.453125" style="36" customWidth="1"/>
    <col min="10" max="10" width="6.26953125" style="36" customWidth="1"/>
    <col min="11" max="11" width="12.81640625" style="36" customWidth="1"/>
    <col min="12" max="12" width="7.453125" style="36" customWidth="1"/>
    <col min="13" max="13" width="3.1796875" style="36" customWidth="1"/>
    <col min="14" max="14" width="4.7265625" style="36" customWidth="1"/>
    <col min="15" max="15" width="10.453125" style="36" customWidth="1"/>
    <col min="16" max="16" width="17.7265625" style="36" customWidth="1"/>
    <col min="17" max="17" width="2.1796875" style="36" customWidth="1"/>
    <col min="18" max="18" width="2.7265625" style="75" customWidth="1"/>
    <col min="19" max="19" width="9.1796875" style="36"/>
    <col min="20" max="21" width="11.54296875" style="36" bestFit="1" customWidth="1"/>
    <col min="22" max="22" width="10.26953125" style="36" bestFit="1" customWidth="1"/>
    <col min="23" max="16384" width="9.1796875" style="36"/>
  </cols>
  <sheetData>
    <row r="1" spans="1:18" ht="17.5" x14ac:dyDescent="0.35">
      <c r="A1" s="295" t="str">
        <f>IF(Owner=1,"FANNIE MAE FLEX MODIFICATION","FREDDIE MAC FLEX MODIFICATION")</f>
        <v>FANNIE MAE FLEX MODIFICATION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7"/>
    </row>
    <row r="2" spans="1:18" x14ac:dyDescent="0.25">
      <c r="A2" s="33"/>
      <c r="B2" s="74" t="str">
        <f>IF(Q43="MFY's Proprietary Waterfall Worksheet for HAMP Tiers 1 and 2","","MFY's Proprietary Waterfall Worksheet for HAMP Tiers 1 and 2")</f>
        <v>MFY's Proprietary Waterfall Worksheet for HAMP Tiers 1 and 2</v>
      </c>
      <c r="C2" s="34"/>
      <c r="D2" s="34"/>
      <c r="E2" s="34"/>
      <c r="F2" s="34"/>
      <c r="G2" s="34"/>
      <c r="H2" s="35"/>
      <c r="I2" s="34"/>
      <c r="J2" s="34"/>
      <c r="K2" s="34"/>
      <c r="L2" s="34"/>
      <c r="M2" s="34"/>
      <c r="N2" s="34"/>
      <c r="O2" s="34"/>
      <c r="P2" s="34"/>
      <c r="Q2" s="34"/>
      <c r="R2" s="92"/>
    </row>
    <row r="3" spans="1:18" ht="12.75" customHeight="1" x14ac:dyDescent="0.25">
      <c r="A3" s="37"/>
      <c r="B3" s="38"/>
      <c r="C3" s="39"/>
      <c r="D3" s="40"/>
      <c r="E3" s="39"/>
      <c r="F3" s="39"/>
      <c r="G3" s="39"/>
      <c r="H3" s="41"/>
      <c r="I3" s="292" t="s">
        <v>41</v>
      </c>
      <c r="J3" s="293"/>
      <c r="K3" s="293"/>
      <c r="L3" s="293"/>
      <c r="M3" s="293"/>
      <c r="N3" s="293"/>
      <c r="O3" s="293"/>
      <c r="P3" s="293"/>
      <c r="Q3" s="293"/>
      <c r="R3" s="294"/>
    </row>
    <row r="4" spans="1:18" ht="13" x14ac:dyDescent="0.25">
      <c r="A4" s="37"/>
      <c r="B4" s="39"/>
      <c r="C4" s="39"/>
      <c r="D4" s="298" t="s">
        <v>1</v>
      </c>
      <c r="E4" s="298"/>
      <c r="F4" s="39"/>
      <c r="G4" s="39"/>
      <c r="H4" s="41"/>
      <c r="I4" s="39"/>
      <c r="J4" s="39"/>
      <c r="K4" s="39"/>
      <c r="L4" s="39"/>
      <c r="M4" s="39"/>
      <c r="N4" s="39"/>
      <c r="O4" s="39"/>
      <c r="P4" s="39"/>
      <c r="Q4" s="39"/>
      <c r="R4" s="89"/>
    </row>
    <row r="5" spans="1:18" x14ac:dyDescent="0.25">
      <c r="A5" s="37"/>
      <c r="B5" s="39"/>
      <c r="C5" s="39"/>
      <c r="D5" s="104" t="s">
        <v>3</v>
      </c>
      <c r="E5" s="105" t="s">
        <v>4</v>
      </c>
      <c r="F5" s="39"/>
      <c r="G5" s="39"/>
      <c r="H5" s="41"/>
      <c r="I5" s="39"/>
      <c r="J5" s="39" t="s">
        <v>42</v>
      </c>
      <c r="K5" s="39"/>
      <c r="L5" s="39"/>
      <c r="M5" s="39"/>
      <c r="N5" s="39"/>
      <c r="O5" s="39"/>
      <c r="P5" s="202">
        <f>Value</f>
        <v>250000</v>
      </c>
      <c r="Q5" s="39"/>
      <c r="R5" s="89"/>
    </row>
    <row r="6" spans="1:18" x14ac:dyDescent="0.25">
      <c r="A6" s="37"/>
      <c r="B6" s="42"/>
      <c r="C6" s="42"/>
      <c r="D6" s="106" t="s">
        <v>5</v>
      </c>
      <c r="E6" s="107" t="s">
        <v>6</v>
      </c>
      <c r="F6" s="39"/>
      <c r="G6" s="39"/>
      <c r="H6" s="41"/>
      <c r="I6" s="39"/>
      <c r="J6" s="72" t="s">
        <v>43</v>
      </c>
      <c r="K6" s="39"/>
      <c r="L6" s="39"/>
      <c r="M6" s="39"/>
      <c r="N6" s="39"/>
      <c r="O6" s="39"/>
      <c r="P6" s="43">
        <f ca="1">UPB</f>
        <v>125976.2258</v>
      </c>
      <c r="Q6" s="39"/>
      <c r="R6" s="203"/>
    </row>
    <row r="7" spans="1:18" ht="13" x14ac:dyDescent="0.3">
      <c r="A7" s="37"/>
      <c r="B7" s="39"/>
      <c r="C7" s="39"/>
      <c r="D7" s="39"/>
      <c r="E7" s="39"/>
      <c r="F7" s="39"/>
      <c r="G7" s="39"/>
      <c r="H7" s="41"/>
      <c r="I7" s="39"/>
      <c r="J7" s="39" t="s">
        <v>44</v>
      </c>
      <c r="K7" s="39"/>
      <c r="L7" s="39"/>
      <c r="M7" s="39"/>
      <c r="N7" s="39"/>
      <c r="O7" s="39"/>
      <c r="P7" s="44">
        <f ca="1">P6/P5</f>
        <v>0.50390490320000003</v>
      </c>
      <c r="Q7" s="85"/>
      <c r="R7" s="203"/>
    </row>
    <row r="8" spans="1:18" ht="13" x14ac:dyDescent="0.3">
      <c r="A8" s="37"/>
      <c r="B8" s="45" t="s">
        <v>39</v>
      </c>
      <c r="C8" s="45"/>
      <c r="D8" s="45"/>
      <c r="E8" s="46">
        <f>GMI</f>
        <v>1625</v>
      </c>
      <c r="F8" s="39"/>
      <c r="G8" s="39"/>
      <c r="H8" s="41"/>
      <c r="I8" s="39"/>
      <c r="J8" s="39"/>
      <c r="K8" s="39"/>
      <c r="L8" s="39"/>
      <c r="M8" s="39"/>
      <c r="N8" s="39"/>
      <c r="O8" s="39"/>
      <c r="P8" s="47"/>
      <c r="Q8" s="39"/>
      <c r="R8" s="203"/>
    </row>
    <row r="9" spans="1:18" ht="13" x14ac:dyDescent="0.3">
      <c r="A9" s="37"/>
      <c r="B9" s="39"/>
      <c r="C9" s="39"/>
      <c r="D9" s="39"/>
      <c r="E9" s="39"/>
      <c r="F9" s="39"/>
      <c r="G9" s="39"/>
      <c r="H9" s="41"/>
      <c r="I9" s="39"/>
      <c r="J9" s="45" t="s">
        <v>45</v>
      </c>
      <c r="K9" s="39"/>
      <c r="L9" s="39"/>
      <c r="M9" s="39"/>
      <c r="N9" s="39"/>
      <c r="O9" s="39"/>
      <c r="P9" s="48" t="str">
        <f ca="1">IF(P7&gt;1,"YES","NO")</f>
        <v>NO</v>
      </c>
      <c r="Q9" s="39"/>
      <c r="R9" s="203"/>
    </row>
    <row r="10" spans="1:18" ht="13" x14ac:dyDescent="0.3">
      <c r="A10" s="37"/>
      <c r="B10" s="39"/>
      <c r="C10" s="39"/>
      <c r="D10" s="39"/>
      <c r="E10" s="39"/>
      <c r="F10" s="39"/>
      <c r="G10" s="39"/>
      <c r="H10" s="41"/>
      <c r="I10" s="39"/>
      <c r="J10" s="39"/>
      <c r="K10" s="49" t="str">
        <f ca="1">IF(P9="No","Proceed to Step 5","")</f>
        <v>Proceed to Step 5</v>
      </c>
      <c r="L10" s="49"/>
      <c r="M10" s="49"/>
      <c r="N10" s="39"/>
      <c r="O10" s="39"/>
      <c r="P10" s="39"/>
      <c r="Q10" s="39"/>
      <c r="R10" s="89"/>
    </row>
    <row r="11" spans="1:18" ht="15.5" x14ac:dyDescent="0.35">
      <c r="A11" s="37"/>
      <c r="B11" s="50" t="s">
        <v>46</v>
      </c>
      <c r="C11" s="39"/>
      <c r="D11" s="39"/>
      <c r="E11" s="51"/>
      <c r="F11" s="39"/>
      <c r="G11" s="39"/>
      <c r="H11" s="41"/>
      <c r="I11" s="39"/>
      <c r="J11" s="45" t="s">
        <v>47</v>
      </c>
      <c r="K11" s="45"/>
      <c r="L11" s="45"/>
      <c r="M11" s="45"/>
      <c r="N11" s="45"/>
      <c r="O11" s="45"/>
      <c r="P11" s="52"/>
      <c r="Q11" s="39"/>
      <c r="R11" s="89"/>
    </row>
    <row r="12" spans="1:18" ht="13" x14ac:dyDescent="0.3">
      <c r="A12" s="37"/>
      <c r="B12" s="39"/>
      <c r="C12" s="39"/>
      <c r="D12" s="39"/>
      <c r="E12" s="51"/>
      <c r="F12" s="39"/>
      <c r="G12" s="39"/>
      <c r="H12" s="41"/>
      <c r="I12" s="39"/>
      <c r="J12" s="72" t="s">
        <v>48</v>
      </c>
      <c r="K12" s="45"/>
      <c r="L12" s="45"/>
      <c r="M12" s="45"/>
      <c r="N12" s="45"/>
      <c r="O12" s="45"/>
      <c r="P12" s="45"/>
      <c r="Q12" s="39"/>
      <c r="R12" s="89"/>
    </row>
    <row r="13" spans="1:18" ht="13" x14ac:dyDescent="0.3">
      <c r="A13" s="37"/>
      <c r="B13" s="72" t="s">
        <v>49</v>
      </c>
      <c r="C13" s="39"/>
      <c r="D13" s="39"/>
      <c r="E13" s="76">
        <f>'Flex (HAF)'!E13</f>
        <v>613.19000000000005</v>
      </c>
      <c r="F13" s="39"/>
      <c r="G13" s="39"/>
      <c r="H13" s="41"/>
      <c r="I13" s="39"/>
      <c r="J13" s="39"/>
      <c r="K13" s="39" t="s">
        <v>50</v>
      </c>
      <c r="L13" s="39"/>
      <c r="M13" s="39"/>
      <c r="N13" s="39"/>
      <c r="O13" s="39"/>
      <c r="P13" s="53">
        <f ca="1">IF(P9="NO",0,P5)</f>
        <v>0</v>
      </c>
      <c r="Q13" s="45"/>
      <c r="R13" s="89"/>
    </row>
    <row r="14" spans="1:18" ht="13" x14ac:dyDescent="0.3">
      <c r="A14" s="37"/>
      <c r="B14" s="39" t="s">
        <v>51</v>
      </c>
      <c r="C14" s="39"/>
      <c r="D14" s="39"/>
      <c r="E14" s="54">
        <f>Inputs!N19</f>
        <v>0</v>
      </c>
      <c r="F14" s="55" t="s">
        <v>52</v>
      </c>
      <c r="G14" s="39"/>
      <c r="H14" s="41"/>
      <c r="I14" s="39"/>
      <c r="J14" s="39"/>
      <c r="K14" s="39" t="s">
        <v>53</v>
      </c>
      <c r="L14" s="39"/>
      <c r="M14" s="39"/>
      <c r="N14" s="39"/>
      <c r="O14" s="39"/>
      <c r="P14" s="53">
        <f ca="1">IF(P9="NO",0,E28-P13)</f>
        <v>0</v>
      </c>
      <c r="Q14" s="45"/>
      <c r="R14" s="89"/>
    </row>
    <row r="15" spans="1:18" x14ac:dyDescent="0.25">
      <c r="A15" s="37"/>
      <c r="B15" s="39" t="s">
        <v>54</v>
      </c>
      <c r="C15" s="39"/>
      <c r="D15" s="39"/>
      <c r="E15" s="114">
        <f>Inputs!N20</f>
        <v>0</v>
      </c>
      <c r="F15" s="55" t="s">
        <v>52</v>
      </c>
      <c r="G15" s="39"/>
      <c r="H15" s="41"/>
      <c r="I15" s="39"/>
      <c r="J15" s="72" t="s">
        <v>55</v>
      </c>
      <c r="K15" s="39"/>
      <c r="L15" s="39"/>
      <c r="M15" s="39"/>
      <c r="N15" s="39"/>
      <c r="O15" s="39"/>
      <c r="P15" s="56"/>
      <c r="Q15" s="39"/>
      <c r="R15" s="89"/>
    </row>
    <row r="16" spans="1:18" x14ac:dyDescent="0.25">
      <c r="A16" s="37"/>
      <c r="B16" s="39" t="s">
        <v>56</v>
      </c>
      <c r="C16" s="39"/>
      <c r="D16" s="39"/>
      <c r="E16" s="64">
        <f>Inputs!N21</f>
        <v>0</v>
      </c>
      <c r="F16" s="55" t="s">
        <v>52</v>
      </c>
      <c r="G16" s="39"/>
      <c r="H16" s="41"/>
      <c r="I16" s="39"/>
      <c r="J16" s="39"/>
      <c r="K16" s="39" t="s">
        <v>50</v>
      </c>
      <c r="L16" s="39"/>
      <c r="M16" s="39"/>
      <c r="N16" s="39"/>
      <c r="O16" s="39"/>
      <c r="P16" s="112">
        <f ca="1">E28*0.7</f>
        <v>88183.358059999999</v>
      </c>
      <c r="Q16" s="39"/>
      <c r="R16" s="89"/>
    </row>
    <row r="17" spans="1:21" x14ac:dyDescent="0.25">
      <c r="A17" s="37"/>
      <c r="B17" s="40"/>
      <c r="C17" s="39"/>
      <c r="D17" s="39"/>
      <c r="E17" s="66"/>
      <c r="F17" s="57"/>
      <c r="G17" s="39"/>
      <c r="H17" s="41"/>
      <c r="I17" s="39"/>
      <c r="J17" s="39"/>
      <c r="K17" s="39" t="s">
        <v>53</v>
      </c>
      <c r="L17" s="39"/>
      <c r="M17" s="39"/>
      <c r="N17" s="39"/>
      <c r="O17" s="39"/>
      <c r="P17" s="53">
        <f ca="1">IF(P9="NO",0,E28*0.3)</f>
        <v>0</v>
      </c>
      <c r="Q17" s="39"/>
      <c r="R17" s="89"/>
    </row>
    <row r="18" spans="1:21" ht="13" x14ac:dyDescent="0.3">
      <c r="A18" s="37"/>
      <c r="B18" s="45" t="s">
        <v>38</v>
      </c>
      <c r="C18" s="45"/>
      <c r="D18" s="45"/>
      <c r="E18" s="65">
        <f>SUM(E13:E17)</f>
        <v>613.19000000000005</v>
      </c>
      <c r="F18" s="55"/>
      <c r="G18" s="39"/>
      <c r="H18" s="41"/>
      <c r="I18" s="39"/>
      <c r="J18" s="59" t="s">
        <v>57</v>
      </c>
      <c r="K18" s="39"/>
      <c r="L18" s="39"/>
      <c r="M18" s="39"/>
      <c r="N18" s="39"/>
      <c r="O18" s="39"/>
      <c r="P18" s="183">
        <f ca="1">IF(P14&lt;P17,P14,P17)</f>
        <v>0</v>
      </c>
      <c r="Q18" s="39"/>
      <c r="R18" s="89"/>
    </row>
    <row r="19" spans="1:21" x14ac:dyDescent="0.25">
      <c r="A19" s="37"/>
      <c r="B19" s="39"/>
      <c r="C19" s="39"/>
      <c r="D19" s="39"/>
      <c r="E19" s="51"/>
      <c r="F19" s="39"/>
      <c r="G19" s="39"/>
      <c r="H19" s="41"/>
      <c r="I19" s="39"/>
      <c r="J19" s="39"/>
      <c r="K19" s="39"/>
      <c r="L19" s="39"/>
      <c r="M19" s="39"/>
      <c r="N19" s="39"/>
      <c r="O19" s="39"/>
      <c r="P19" s="39"/>
      <c r="Q19" s="39"/>
      <c r="R19" s="89"/>
      <c r="U19" s="199"/>
    </row>
    <row r="20" spans="1:21" ht="13" x14ac:dyDescent="0.3">
      <c r="A20" s="37"/>
      <c r="B20" s="45" t="s">
        <v>58</v>
      </c>
      <c r="C20" s="39"/>
      <c r="D20" s="39"/>
      <c r="E20" s="131">
        <f ca="1">Inputs!N16-ROUNDUP(DAYS360(Inputs!N17,Inputs!N27)/30,0)</f>
        <v>396</v>
      </c>
      <c r="F20" s="40" t="s">
        <v>59</v>
      </c>
      <c r="G20" s="39"/>
      <c r="H20" s="41"/>
      <c r="I20" s="39"/>
      <c r="J20" s="73" t="s">
        <v>60</v>
      </c>
      <c r="K20" s="39"/>
      <c r="L20" s="39"/>
      <c r="M20" s="39"/>
      <c r="N20" s="39"/>
      <c r="O20" s="39"/>
      <c r="P20" s="58">
        <f ca="1">IF(P9="YES",E28-P18,E28)</f>
        <v>125976.2258</v>
      </c>
      <c r="Q20" s="39"/>
      <c r="R20" s="89"/>
    </row>
    <row r="21" spans="1:21" ht="13" x14ac:dyDescent="0.3">
      <c r="A21" s="37"/>
      <c r="B21" s="45"/>
      <c r="C21" s="39"/>
      <c r="D21" s="39"/>
      <c r="E21" s="77"/>
      <c r="F21" s="40"/>
      <c r="G21" s="39"/>
      <c r="H21" s="41"/>
      <c r="I21" s="39"/>
      <c r="J21" s="39"/>
      <c r="K21" s="39"/>
      <c r="L21" s="39"/>
      <c r="M21" s="39"/>
      <c r="N21" s="39"/>
      <c r="O21" s="39"/>
      <c r="P21" s="39"/>
      <c r="Q21" s="39"/>
      <c r="R21" s="89"/>
      <c r="U21" s="198"/>
    </row>
    <row r="22" spans="1:21" ht="13" x14ac:dyDescent="0.25">
      <c r="A22" s="37"/>
      <c r="B22" s="39"/>
      <c r="C22" s="39"/>
      <c r="D22" s="39"/>
      <c r="E22" s="39"/>
      <c r="F22" s="39"/>
      <c r="G22" s="39"/>
      <c r="H22" s="41"/>
      <c r="I22" s="292" t="s">
        <v>61</v>
      </c>
      <c r="J22" s="293"/>
      <c r="K22" s="293"/>
      <c r="L22" s="293"/>
      <c r="M22" s="293"/>
      <c r="N22" s="293"/>
      <c r="O22" s="293"/>
      <c r="P22" s="293"/>
      <c r="Q22" s="293"/>
      <c r="R22" s="294"/>
      <c r="U22" s="198"/>
    </row>
    <row r="23" spans="1:21" ht="13" x14ac:dyDescent="0.25">
      <c r="A23" s="292" t="s">
        <v>62</v>
      </c>
      <c r="B23" s="293"/>
      <c r="C23" s="293"/>
      <c r="D23" s="293"/>
      <c r="E23" s="293"/>
      <c r="F23" s="293"/>
      <c r="G23" s="294"/>
      <c r="H23" s="41"/>
      <c r="I23" s="39"/>
      <c r="J23" s="60"/>
      <c r="K23" s="39"/>
      <c r="L23" s="39"/>
      <c r="M23" s="39"/>
      <c r="N23" s="39"/>
      <c r="O23" s="39"/>
      <c r="P23" s="39"/>
      <c r="Q23" s="39"/>
      <c r="R23" s="89"/>
      <c r="U23" s="199"/>
    </row>
    <row r="24" spans="1:21" ht="13" x14ac:dyDescent="0.3">
      <c r="A24" s="37"/>
      <c r="B24" s="49"/>
      <c r="C24" s="39"/>
      <c r="D24" s="39"/>
      <c r="E24" s="51"/>
      <c r="F24" s="39"/>
      <c r="G24" s="39"/>
      <c r="H24" s="41"/>
      <c r="J24" s="151" t="str">
        <f ca="1">IF(Inputs!N28&gt;3,"Borrower Over 90 Days in Default. Target P&amp;I Reduction Only","Borrower Less Than 90 Days Delinquent. Target P&amp;I Reduction and HTI")</f>
        <v>Borrower Over 90 Days in Default. Target P&amp;I Reduction Only</v>
      </c>
      <c r="K24" s="149"/>
      <c r="L24" s="149"/>
      <c r="M24" s="149"/>
      <c r="N24" s="149"/>
      <c r="O24" s="149"/>
      <c r="P24" s="149"/>
      <c r="Q24" s="149"/>
      <c r="R24" s="150"/>
    </row>
    <row r="25" spans="1:21" x14ac:dyDescent="0.25">
      <c r="A25" s="37"/>
      <c r="B25" s="72" t="s">
        <v>63</v>
      </c>
      <c r="C25" s="39"/>
      <c r="D25" s="39"/>
      <c r="E25" s="54">
        <f>Inputs!N29</f>
        <v>112920.66</v>
      </c>
      <c r="F25" s="72" t="s">
        <v>52</v>
      </c>
      <c r="G25" s="39"/>
      <c r="H25" s="41"/>
      <c r="I25" s="39"/>
      <c r="J25" s="72" t="s">
        <v>64</v>
      </c>
      <c r="K25" s="39"/>
      <c r="L25" s="39"/>
      <c r="M25" s="39"/>
      <c r="N25" s="39"/>
      <c r="O25" s="39"/>
      <c r="P25" s="204">
        <f ca="1">-PV(E36/12,E42,E13*0.8)</f>
        <v>119589.05769286126</v>
      </c>
      <c r="Q25" s="39"/>
      <c r="R25" s="89"/>
    </row>
    <row r="26" spans="1:21" x14ac:dyDescent="0.25">
      <c r="A26" s="37"/>
      <c r="B26" s="72" t="str">
        <f>IF(Inputs!N18&gt;0,"Arrears and Forbearance","Total Eligible Arrears")</f>
        <v>Total Eligible Arrears</v>
      </c>
      <c r="C26" s="39"/>
      <c r="D26" s="39"/>
      <c r="E26" s="54">
        <f ca="1">Inputs!$N$36</f>
        <v>13055.5658</v>
      </c>
      <c r="F26" s="71" t="s">
        <v>126</v>
      </c>
      <c r="G26" s="39"/>
      <c r="H26" s="41"/>
      <c r="I26" s="39"/>
      <c r="J26" s="136" t="str">
        <f ca="1">IF(Inputs!N28&gt;3,"","Target Amortizing UPB for 40% HTI")</f>
        <v/>
      </c>
      <c r="P26" s="144">
        <f ca="1">-PV(E36/12,E42,0.4*GMI-(SUM(E14:E16)))</f>
        <v>158460.03583791282</v>
      </c>
      <c r="Q26" s="39"/>
      <c r="R26" s="89"/>
    </row>
    <row r="27" spans="1:21" x14ac:dyDescent="0.25">
      <c r="A27" s="37"/>
      <c r="B27" s="72" t="s">
        <v>120</v>
      </c>
      <c r="C27" s="39"/>
      <c r="D27" s="39"/>
      <c r="E27" s="54">
        <f>0</f>
        <v>0</v>
      </c>
      <c r="F27" s="71"/>
      <c r="G27" s="39"/>
      <c r="H27" s="41"/>
      <c r="J27" s="136" t="s">
        <v>66</v>
      </c>
      <c r="P27" s="144">
        <f ca="1">IF(OR(Inputs!N28&gt;3,Flex!P26&gt;Flex!P25),IF(P25&gt;P20,0,P20-P25),IF(P26&gt;P20,0,P20-P26))</f>
        <v>6387.1681071387429</v>
      </c>
      <c r="Q27" s="39"/>
      <c r="R27" s="89"/>
    </row>
    <row r="28" spans="1:21" ht="13" x14ac:dyDescent="0.3">
      <c r="A28" s="37"/>
      <c r="B28" s="45" t="s">
        <v>65</v>
      </c>
      <c r="C28" s="45"/>
      <c r="D28" s="45"/>
      <c r="E28" s="58">
        <f ca="1">SUM(E25:E26)-E27</f>
        <v>125976.2258</v>
      </c>
      <c r="F28" s="55"/>
      <c r="G28" s="39"/>
      <c r="H28" s="41"/>
      <c r="I28" s="39"/>
      <c r="Q28" s="47"/>
      <c r="R28" s="89"/>
      <c r="U28" s="199"/>
    </row>
    <row r="29" spans="1:21" ht="13" x14ac:dyDescent="0.3">
      <c r="A29" s="37"/>
      <c r="B29" s="39"/>
      <c r="C29" s="39"/>
      <c r="D29" s="39"/>
      <c r="E29" s="51"/>
      <c r="F29" s="39"/>
      <c r="G29" s="39"/>
      <c r="H29" s="41"/>
      <c r="I29" s="39"/>
      <c r="J29" s="45" t="s">
        <v>67</v>
      </c>
      <c r="K29" s="39"/>
      <c r="L29" s="125"/>
      <c r="M29" s="126"/>
      <c r="N29" s="125"/>
      <c r="O29" s="124"/>
      <c r="P29" s="77"/>
      <c r="Q29" s="39"/>
      <c r="R29" s="89"/>
    </row>
    <row r="30" spans="1:21" ht="12.75" customHeight="1" x14ac:dyDescent="0.25">
      <c r="A30" s="37"/>
      <c r="B30" s="39"/>
      <c r="C30" s="39"/>
      <c r="D30" s="39"/>
      <c r="E30" s="51"/>
      <c r="F30" s="39"/>
      <c r="G30" s="39"/>
      <c r="H30" s="41"/>
      <c r="I30" s="39"/>
      <c r="J30" s="72"/>
      <c r="K30" s="72" t="s">
        <v>69</v>
      </c>
      <c r="L30" s="39"/>
      <c r="M30" s="39"/>
      <c r="N30" s="39"/>
      <c r="O30" s="39"/>
      <c r="P30" s="112">
        <f ca="1">IF(P20-P5*0.8&lt;0,0,P6-P5*0.8)</f>
        <v>0</v>
      </c>
      <c r="Q30" s="39"/>
      <c r="R30" s="89"/>
      <c r="T30" s="198"/>
    </row>
    <row r="31" spans="1:21" ht="13" x14ac:dyDescent="0.25">
      <c r="A31" s="292" t="s">
        <v>68</v>
      </c>
      <c r="B31" s="293"/>
      <c r="C31" s="293"/>
      <c r="D31" s="293"/>
      <c r="E31" s="293"/>
      <c r="F31" s="293"/>
      <c r="G31" s="294"/>
      <c r="H31" s="41"/>
      <c r="I31" s="39"/>
      <c r="J31" s="39"/>
      <c r="K31" s="72" t="s">
        <v>70</v>
      </c>
      <c r="L31" s="39"/>
      <c r="M31" s="39"/>
      <c r="N31" s="39"/>
      <c r="O31" s="39"/>
      <c r="P31" s="144">
        <f ca="1">P6-UPB*0.7</f>
        <v>37792.867740000002</v>
      </c>
      <c r="Q31" s="39"/>
      <c r="R31" s="89"/>
    </row>
    <row r="32" spans="1:21" x14ac:dyDescent="0.25">
      <c r="A32" s="37"/>
      <c r="B32" s="39"/>
      <c r="C32" s="39"/>
      <c r="D32" s="39"/>
      <c r="E32" s="51"/>
      <c r="F32" s="39"/>
      <c r="G32" s="39"/>
      <c r="H32" s="205"/>
      <c r="I32" s="39"/>
      <c r="J32" s="72" t="s">
        <v>71</v>
      </c>
      <c r="K32" s="72"/>
      <c r="L32" s="72"/>
      <c r="M32" s="72"/>
      <c r="N32" s="39"/>
      <c r="O32" s="39"/>
      <c r="P32" s="144">
        <f ca="1">MIN(P27,P31-P18,P30-P18)</f>
        <v>0</v>
      </c>
      <c r="Q32" s="39"/>
      <c r="R32" s="89"/>
    </row>
    <row r="33" spans="1:22" ht="13" x14ac:dyDescent="0.3">
      <c r="A33" s="37"/>
      <c r="B33" s="13" t="str">
        <f ca="1">IF(AND(MTMLTV&lt;0.8,OR(RateType="Fixed Rate",Inputs!N11=Inputs!N14)),"Keep Current Rate:","Lesser of:")</f>
        <v>Keep Current Rate:</v>
      </c>
      <c r="C33" s="1"/>
      <c r="D33" s="1"/>
      <c r="E33" s="1"/>
      <c r="F33" s="45"/>
      <c r="G33" s="72"/>
      <c r="H33" s="205"/>
      <c r="I33" s="39"/>
      <c r="Q33" s="86"/>
      <c r="R33" s="89"/>
      <c r="V33" s="198"/>
    </row>
    <row r="34" spans="1:22" ht="13.5" x14ac:dyDescent="0.3">
      <c r="A34" s="37"/>
      <c r="B34" s="90" t="str">
        <f ca="1">IF(AND(MTMLTV&lt;0.8,OR(RateType="Fixed Rate",Inputs!N11=Inputs!N14)),"",IF(Owner=1,"Fannie Mae Mod Rate",IF(Owner=2,"Freddie Standard Mod Rate",0)))</f>
        <v/>
      </c>
      <c r="C34" s="206"/>
      <c r="D34" s="1"/>
      <c r="E34" s="133">
        <f>Inputs!N6</f>
        <v>3.125E-2</v>
      </c>
      <c r="F34" s="45"/>
      <c r="G34" s="72"/>
      <c r="H34" s="205"/>
      <c r="I34" s="290" t="str">
        <f ca="1">IF(-PMT(E36/12,E42,P20-P32)&gt;E13,"P&amp;I Reduction Not Possible; Borrower Ineligible","MODIFICATION RESULTS")</f>
        <v>MODIFICATION RESULTS</v>
      </c>
      <c r="J34" s="290"/>
      <c r="K34" s="290"/>
      <c r="L34" s="290"/>
      <c r="M34" s="290"/>
      <c r="N34" s="290"/>
      <c r="O34" s="290"/>
      <c r="P34" s="291"/>
      <c r="Q34" s="290"/>
      <c r="R34" s="290"/>
    </row>
    <row r="35" spans="1:22" ht="13" x14ac:dyDescent="0.3">
      <c r="A35" s="37"/>
      <c r="B35" s="69" t="str">
        <f>IF(RateType="Fixed Rate","Current Rate",Inputs!K14)</f>
        <v>Current Rate</v>
      </c>
      <c r="C35" s="2"/>
      <c r="D35" s="2"/>
      <c r="E35" s="135">
        <f>IF(RateType="Fixed Rate",Inputs!N11,Inputs!N14)</f>
        <v>3.875E-2</v>
      </c>
      <c r="F35" s="45"/>
      <c r="G35" s="72"/>
      <c r="H35" s="205"/>
      <c r="I35" s="146"/>
      <c r="J35" s="146"/>
      <c r="K35" s="146"/>
      <c r="L35" s="146"/>
      <c r="M35" s="146"/>
      <c r="N35" s="146"/>
      <c r="O35" s="146"/>
      <c r="P35" s="148"/>
      <c r="Q35" s="146"/>
      <c r="R35" s="147"/>
    </row>
    <row r="36" spans="1:22" ht="13" x14ac:dyDescent="0.3">
      <c r="A36" s="37"/>
      <c r="B36" s="45" t="s">
        <v>72</v>
      </c>
      <c r="C36" s="49"/>
      <c r="D36" s="39"/>
      <c r="E36" s="135">
        <f ca="1">VLOOKUP(RateType,RateTable,3,FALSE)</f>
        <v>3.875E-2</v>
      </c>
      <c r="F36" s="45"/>
      <c r="G36" s="72"/>
      <c r="H36" s="205"/>
      <c r="I36" s="39"/>
      <c r="J36" s="72" t="s">
        <v>73</v>
      </c>
      <c r="K36" s="39"/>
      <c r="L36" s="39"/>
      <c r="M36" s="39"/>
      <c r="N36" s="39"/>
      <c r="O36" s="39"/>
      <c r="P36" s="145">
        <f ca="1">-PMT(TierTwo/12,480,P38-P39)</f>
        <v>516.75203995131335</v>
      </c>
      <c r="Q36" s="40"/>
      <c r="R36" s="89"/>
    </row>
    <row r="37" spans="1:22" ht="13" x14ac:dyDescent="0.3">
      <c r="A37" s="37"/>
      <c r="B37" s="39"/>
      <c r="C37" s="39"/>
      <c r="D37" s="39"/>
      <c r="E37" s="39"/>
      <c r="F37" s="45"/>
      <c r="G37" s="39"/>
      <c r="H37" s="41"/>
      <c r="I37" s="39"/>
      <c r="J37" s="72" t="s">
        <v>74</v>
      </c>
      <c r="K37" s="39"/>
      <c r="L37" s="39"/>
      <c r="M37" s="39"/>
      <c r="N37" s="39"/>
      <c r="O37" s="39"/>
      <c r="P37" s="140">
        <f ca="1">PIREDUCTION+SUM(E14:E16)</f>
        <v>516.75203995131335</v>
      </c>
      <c r="Q37" s="40"/>
      <c r="R37" s="89"/>
    </row>
    <row r="38" spans="1:22" ht="13" x14ac:dyDescent="0.3">
      <c r="A38" s="37"/>
      <c r="B38" s="45"/>
      <c r="C38" s="45"/>
      <c r="D38" s="45"/>
      <c r="E38" s="61"/>
      <c r="F38" s="45"/>
      <c r="G38" s="39"/>
      <c r="H38" s="41"/>
      <c r="I38" s="39"/>
      <c r="J38" s="137" t="s">
        <v>75</v>
      </c>
      <c r="K38" s="39"/>
      <c r="L38" s="39"/>
      <c r="M38" s="39"/>
      <c r="N38" s="39"/>
      <c r="O38" s="39"/>
      <c r="P38" s="139">
        <f ca="1">UPB</f>
        <v>125976.2258</v>
      </c>
      <c r="Q38" s="40"/>
      <c r="R38" s="89"/>
    </row>
    <row r="39" spans="1:22" ht="13" x14ac:dyDescent="0.3">
      <c r="A39" s="37"/>
      <c r="B39" s="45"/>
      <c r="C39" s="39"/>
      <c r="D39" s="39"/>
      <c r="E39" s="39"/>
      <c r="F39" s="39"/>
      <c r="G39" s="39"/>
      <c r="H39" s="41"/>
      <c r="I39" s="39"/>
      <c r="J39" s="137" t="s">
        <v>77</v>
      </c>
      <c r="K39" s="39"/>
      <c r="L39" s="39"/>
      <c r="M39" s="39"/>
      <c r="N39" s="39"/>
      <c r="O39" s="39"/>
      <c r="P39" s="141">
        <f ca="1">P38-(P20-P32)</f>
        <v>0</v>
      </c>
      <c r="Q39" s="87"/>
      <c r="R39" s="89"/>
    </row>
    <row r="40" spans="1:22" ht="12.75" customHeight="1" x14ac:dyDescent="0.25">
      <c r="A40" s="292" t="s">
        <v>76</v>
      </c>
      <c r="B40" s="293"/>
      <c r="C40" s="293"/>
      <c r="D40" s="293"/>
      <c r="E40" s="293"/>
      <c r="F40" s="293"/>
      <c r="G40" s="294"/>
      <c r="H40" s="41"/>
      <c r="I40" s="39"/>
      <c r="J40" s="72" t="s">
        <v>78</v>
      </c>
      <c r="K40" s="39"/>
      <c r="L40" s="39"/>
      <c r="M40" s="39"/>
      <c r="N40" s="39"/>
      <c r="O40" s="39"/>
      <c r="P40" s="142">
        <f ca="1">E36</f>
        <v>3.875E-2</v>
      </c>
      <c r="Q40" s="40"/>
      <c r="R40" s="89"/>
    </row>
    <row r="41" spans="1:22" ht="15.5" x14ac:dyDescent="0.35">
      <c r="A41" s="37"/>
      <c r="B41" s="39"/>
      <c r="C41" s="39"/>
      <c r="D41" s="39"/>
      <c r="E41" s="62"/>
      <c r="F41" s="39"/>
      <c r="G41" s="39"/>
      <c r="H41" s="41"/>
      <c r="I41" s="39"/>
      <c r="J41" s="72" t="s">
        <v>81</v>
      </c>
      <c r="K41" s="39"/>
      <c r="L41" s="39"/>
      <c r="M41" s="39"/>
      <c r="N41" s="39"/>
      <c r="O41" s="39"/>
      <c r="P41" s="143">
        <v>480</v>
      </c>
      <c r="Q41" s="39"/>
      <c r="R41" s="89"/>
    </row>
    <row r="42" spans="1:22" ht="13" x14ac:dyDescent="0.3">
      <c r="A42" s="37"/>
      <c r="B42" s="45" t="s">
        <v>79</v>
      </c>
      <c r="C42" s="39"/>
      <c r="D42" s="39"/>
      <c r="E42" s="113">
        <v>480</v>
      </c>
      <c r="F42" s="72" t="s">
        <v>80</v>
      </c>
      <c r="G42" s="39"/>
      <c r="H42" s="41"/>
      <c r="I42" s="39"/>
      <c r="J42" s="49"/>
      <c r="K42" s="39"/>
      <c r="L42" s="39"/>
      <c r="M42" s="39"/>
      <c r="N42" s="39"/>
      <c r="O42" s="39"/>
      <c r="P42" s="39"/>
      <c r="Q42" s="39"/>
      <c r="R42" s="89"/>
    </row>
    <row r="43" spans="1:22" x14ac:dyDescent="0.25">
      <c r="A43" s="115"/>
      <c r="B43" s="63"/>
      <c r="C43" s="63"/>
      <c r="D43" s="63"/>
      <c r="E43" s="63"/>
      <c r="F43" s="63"/>
      <c r="G43" s="63"/>
      <c r="H43" s="41"/>
      <c r="I43" s="63"/>
      <c r="J43" s="63"/>
      <c r="K43" s="63"/>
      <c r="L43" s="63"/>
      <c r="M43" s="63"/>
      <c r="N43" s="63"/>
      <c r="O43" s="63"/>
      <c r="P43" s="63"/>
      <c r="Q43" s="88" t="s">
        <v>82</v>
      </c>
      <c r="R43" s="91"/>
    </row>
  </sheetData>
  <mergeCells count="8">
    <mergeCell ref="I34:R34"/>
    <mergeCell ref="A40:G40"/>
    <mergeCell ref="A1:R1"/>
    <mergeCell ref="I3:R3"/>
    <mergeCell ref="D4:E4"/>
    <mergeCell ref="I22:R22"/>
    <mergeCell ref="A23:G23"/>
    <mergeCell ref="A31:G31"/>
  </mergeCells>
  <conditionalFormatting sqref="J11:P18">
    <cfRule type="expression" dxfId="27" priority="3">
      <formula>IF($P$9="NO",1,0)</formula>
    </cfRule>
  </conditionalFormatting>
  <conditionalFormatting sqref="J36:P41">
    <cfRule type="expression" dxfId="26" priority="149">
      <formula>IF(-PMT($E$36/12,$E$42,$P$20-$P$32)&gt;$E$13,1,0)</formula>
    </cfRule>
  </conditionalFormatting>
  <pageMargins left="0.75" right="0.75" top="1" bottom="1" header="0.5" footer="0.5"/>
  <pageSetup scale="82" orientation="landscape" r:id="rId1"/>
  <headerFooter alignWithMargins="0">
    <oddHeader>&amp;L&amp;14&amp;F&amp;10
Run on: &amp;D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D8737A90-DFB3-4A99-B239-0256C3160731}">
            <xm:f>IF(Inputs!N28&gt;3,1,0)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P26</xm:sqref>
        </x14:conditionalFormatting>
        <x14:conditionalFormatting xmlns:xm="http://schemas.microsoft.com/office/excel/2006/main">
          <x14:cfRule type="expression" priority="189" id="{FAA3C0AB-0394-4CD9-B22F-357E8EE28E65}">
            <xm:f>IF(AND(MTMLTV&lt;0.8,OR(RateType="Fixed Rate",Inputs!N11=Inputs!N14)),1,0)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 style="thin">
                  <color auto="1"/>
                </bottom>
                <vertical/>
                <horizontal/>
              </border>
            </x14:dxf>
          </x14:cfRule>
          <xm:sqref>E34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FF0000"/>
    <pageSetUpPr autoPageBreaks="0"/>
  </sheetPr>
  <dimension ref="A1:V43"/>
  <sheetViews>
    <sheetView showGridLines="0" zoomScaleNormal="100" workbookViewId="0">
      <selection activeCell="E14" sqref="E14"/>
    </sheetView>
  </sheetViews>
  <sheetFormatPr defaultColWidth="9.1796875" defaultRowHeight="12.5" x14ac:dyDescent="0.25"/>
  <cols>
    <col min="1" max="1" width="3" style="36" customWidth="1"/>
    <col min="2" max="3" width="9.1796875" style="36"/>
    <col min="4" max="4" width="12.7265625" style="36" customWidth="1"/>
    <col min="5" max="5" width="15.453125" style="36" customWidth="1"/>
    <col min="6" max="6" width="8.81640625" style="36" customWidth="1"/>
    <col min="7" max="7" width="10" style="36" customWidth="1"/>
    <col min="8" max="8" width="4.453125" style="36" customWidth="1"/>
    <col min="9" max="9" width="6.453125" style="36" customWidth="1"/>
    <col min="10" max="10" width="6.26953125" style="36" customWidth="1"/>
    <col min="11" max="11" width="12.81640625" style="36" customWidth="1"/>
    <col min="12" max="12" width="7.453125" style="36" customWidth="1"/>
    <col min="13" max="13" width="3.1796875" style="36" customWidth="1"/>
    <col min="14" max="14" width="4.7265625" style="36" customWidth="1"/>
    <col min="15" max="15" width="10.453125" style="36" customWidth="1"/>
    <col min="16" max="16" width="17.7265625" style="36" customWidth="1"/>
    <col min="17" max="17" width="2.1796875" style="36" customWidth="1"/>
    <col min="18" max="18" width="2.7265625" style="75" customWidth="1"/>
    <col min="19" max="19" width="9.1796875" style="36"/>
    <col min="20" max="20" width="9.7265625" style="36" bestFit="1" customWidth="1"/>
    <col min="21" max="21" width="9.1796875" style="36"/>
    <col min="22" max="22" width="10.26953125" style="36" bestFit="1" customWidth="1"/>
    <col min="23" max="16384" width="9.1796875" style="36"/>
  </cols>
  <sheetData>
    <row r="1" spans="1:18" ht="17.5" x14ac:dyDescent="0.35">
      <c r="A1" s="295" t="str">
        <f ca="1">IF(AND(Inputs!N28&lt;=18,Inputs!N26&gt;=DATE(2020,1,1)),IF(Owner=1,"FANNIE MAE FLEX MODIFICATION (COVID IMPACTED)","FREDDIE MAC FLEX MODIFICATION (COVID IMPACTED)"),"NOT ELIGIBLE FOR COVID FLEX MODIFICATION")</f>
        <v>NOT ELIGIBLE FOR COVID FLEX MODIFICATION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7"/>
    </row>
    <row r="2" spans="1:18" x14ac:dyDescent="0.25">
      <c r="A2" s="33"/>
      <c r="B2" s="74"/>
      <c r="C2" s="34"/>
      <c r="D2" s="34"/>
      <c r="E2" s="34"/>
      <c r="F2" s="34"/>
      <c r="G2" s="34"/>
      <c r="H2" s="35"/>
      <c r="I2" s="34"/>
      <c r="J2" s="34"/>
      <c r="K2" s="34"/>
      <c r="L2" s="34"/>
      <c r="M2" s="34"/>
      <c r="N2" s="34"/>
      <c r="O2" s="34"/>
      <c r="P2" s="34"/>
      <c r="Q2" s="34"/>
      <c r="R2" s="92"/>
    </row>
    <row r="3" spans="1:18" ht="12.75" customHeight="1" x14ac:dyDescent="0.25">
      <c r="A3" s="37"/>
      <c r="B3" s="38"/>
      <c r="C3" s="39"/>
      <c r="D3" s="40"/>
      <c r="E3" s="39"/>
      <c r="F3" s="39"/>
      <c r="G3" s="39"/>
      <c r="H3" s="41"/>
      <c r="I3" s="292" t="s">
        <v>41</v>
      </c>
      <c r="J3" s="293"/>
      <c r="K3" s="293"/>
      <c r="L3" s="293"/>
      <c r="M3" s="293"/>
      <c r="N3" s="293"/>
      <c r="O3" s="293"/>
      <c r="P3" s="293"/>
      <c r="Q3" s="293"/>
      <c r="R3" s="294"/>
    </row>
    <row r="4" spans="1:18" ht="13" customHeight="1" x14ac:dyDescent="0.25">
      <c r="A4" s="37"/>
      <c r="B4" s="39"/>
      <c r="C4" s="299" t="s">
        <v>1</v>
      </c>
      <c r="D4" s="299"/>
      <c r="E4" s="299"/>
      <c r="F4" s="299"/>
      <c r="G4" s="39"/>
      <c r="H4" s="41"/>
      <c r="I4" s="39"/>
      <c r="J4" s="39"/>
      <c r="K4" s="39"/>
      <c r="L4" s="39"/>
      <c r="M4" s="39"/>
      <c r="N4" s="39"/>
      <c r="O4" s="39"/>
      <c r="P4" s="39"/>
      <c r="Q4" s="39"/>
      <c r="R4" s="89"/>
    </row>
    <row r="5" spans="1:18" x14ac:dyDescent="0.25">
      <c r="A5" s="37"/>
      <c r="B5" s="39"/>
      <c r="C5" s="39"/>
      <c r="D5" s="104" t="s">
        <v>3</v>
      </c>
      <c r="E5" s="105" t="s">
        <v>4</v>
      </c>
      <c r="F5" s="39"/>
      <c r="G5" s="39"/>
      <c r="H5" s="41"/>
      <c r="I5" s="39"/>
      <c r="J5" s="39" t="s">
        <v>42</v>
      </c>
      <c r="K5" s="39"/>
      <c r="L5" s="39"/>
      <c r="M5" s="39"/>
      <c r="N5" s="39"/>
      <c r="O5" s="39"/>
      <c r="P5" s="202">
        <f>Value</f>
        <v>250000</v>
      </c>
      <c r="Q5" s="39"/>
      <c r="R5" s="89"/>
    </row>
    <row r="6" spans="1:18" x14ac:dyDescent="0.25">
      <c r="A6" s="37"/>
      <c r="B6" s="42"/>
      <c r="C6" s="42"/>
      <c r="D6" s="106" t="s">
        <v>5</v>
      </c>
      <c r="E6" s="107" t="s">
        <v>6</v>
      </c>
      <c r="F6" s="39"/>
      <c r="G6" s="39"/>
      <c r="H6" s="41"/>
      <c r="I6" s="39"/>
      <c r="J6" s="72" t="s">
        <v>43</v>
      </c>
      <c r="K6" s="39"/>
      <c r="L6" s="39"/>
      <c r="M6" s="39"/>
      <c r="N6" s="39"/>
      <c r="O6" s="39"/>
      <c r="P6" s="43">
        <f ca="1">UPB</f>
        <v>125976.2258</v>
      </c>
      <c r="Q6" s="39"/>
      <c r="R6" s="203"/>
    </row>
    <row r="7" spans="1:18" ht="13" x14ac:dyDescent="0.3">
      <c r="A7" s="37"/>
      <c r="B7" s="39"/>
      <c r="C7" s="39"/>
      <c r="D7" s="39"/>
      <c r="E7" s="39"/>
      <c r="F7" s="39"/>
      <c r="G7" s="39"/>
      <c r="H7" s="41"/>
      <c r="I7" s="39"/>
      <c r="J7" s="39" t="s">
        <v>44</v>
      </c>
      <c r="K7" s="39"/>
      <c r="L7" s="39"/>
      <c r="M7" s="39"/>
      <c r="N7" s="39"/>
      <c r="O7" s="39"/>
      <c r="P7" s="44">
        <f ca="1">P6/P5</f>
        <v>0.50390490320000003</v>
      </c>
      <c r="Q7" s="85"/>
      <c r="R7" s="203"/>
    </row>
    <row r="8" spans="1:18" ht="13" x14ac:dyDescent="0.3">
      <c r="A8" s="37"/>
      <c r="B8" s="45" t="s">
        <v>39</v>
      </c>
      <c r="C8" s="45"/>
      <c r="D8" s="45"/>
      <c r="E8" s="46">
        <f>GMI</f>
        <v>1625</v>
      </c>
      <c r="F8" s="39"/>
      <c r="G8" s="39"/>
      <c r="H8" s="41"/>
      <c r="I8" s="39"/>
      <c r="J8" s="39"/>
      <c r="K8" s="39"/>
      <c r="L8" s="39"/>
      <c r="M8" s="39"/>
      <c r="N8" s="39"/>
      <c r="O8" s="39"/>
      <c r="P8" s="47"/>
      <c r="Q8" s="39"/>
      <c r="R8" s="203"/>
    </row>
    <row r="9" spans="1:18" ht="13" x14ac:dyDescent="0.3">
      <c r="A9" s="37"/>
      <c r="B9" s="39"/>
      <c r="C9" s="39"/>
      <c r="D9" s="39"/>
      <c r="E9" s="39"/>
      <c r="F9" s="39"/>
      <c r="G9" s="39"/>
      <c r="H9" s="41"/>
      <c r="I9" s="39"/>
      <c r="J9" s="45" t="s">
        <v>45</v>
      </c>
      <c r="K9" s="39"/>
      <c r="L9" s="39"/>
      <c r="M9" s="39"/>
      <c r="N9" s="39"/>
      <c r="O9" s="39"/>
      <c r="P9" s="48" t="str">
        <f ca="1">IF(P7&gt;1,"YES","NO")</f>
        <v>NO</v>
      </c>
      <c r="Q9" s="39"/>
      <c r="R9" s="203"/>
    </row>
    <row r="10" spans="1:18" ht="13" x14ac:dyDescent="0.3">
      <c r="A10" s="37"/>
      <c r="B10" s="39"/>
      <c r="C10" s="39"/>
      <c r="D10" s="39"/>
      <c r="E10" s="39"/>
      <c r="F10" s="39"/>
      <c r="G10" s="39"/>
      <c r="H10" s="41"/>
      <c r="I10" s="39"/>
      <c r="J10" s="39"/>
      <c r="K10" s="49" t="str">
        <f ca="1">IF(P9="No","Proceed to Step 5","")</f>
        <v>Proceed to Step 5</v>
      </c>
      <c r="L10" s="49"/>
      <c r="M10" s="49"/>
      <c r="N10" s="39"/>
      <c r="O10" s="39"/>
      <c r="P10" s="39"/>
      <c r="Q10" s="39"/>
      <c r="R10" s="89"/>
    </row>
    <row r="11" spans="1:18" ht="15.5" x14ac:dyDescent="0.35">
      <c r="A11" s="37"/>
      <c r="B11" s="50" t="s">
        <v>46</v>
      </c>
      <c r="C11" s="39"/>
      <c r="D11" s="39"/>
      <c r="E11" s="51"/>
      <c r="F11" s="39"/>
      <c r="G11" s="39"/>
      <c r="H11" s="41"/>
      <c r="I11" s="39"/>
      <c r="J11" s="45" t="s">
        <v>47</v>
      </c>
      <c r="K11" s="45"/>
      <c r="L11" s="45"/>
      <c r="M11" s="45"/>
      <c r="N11" s="45"/>
      <c r="O11" s="45"/>
      <c r="P11" s="52"/>
      <c r="Q11" s="39"/>
      <c r="R11" s="89"/>
    </row>
    <row r="12" spans="1:18" ht="13" x14ac:dyDescent="0.3">
      <c r="A12" s="37"/>
      <c r="B12" s="39"/>
      <c r="C12" s="39"/>
      <c r="D12" s="39"/>
      <c r="E12" s="51"/>
      <c r="F12" s="39"/>
      <c r="G12" s="39"/>
      <c r="H12" s="41"/>
      <c r="I12" s="39"/>
      <c r="J12" s="72" t="s">
        <v>48</v>
      </c>
      <c r="K12" s="45"/>
      <c r="L12" s="45"/>
      <c r="M12" s="45"/>
      <c r="N12" s="45"/>
      <c r="O12" s="45"/>
      <c r="P12" s="45"/>
      <c r="Q12" s="39"/>
      <c r="R12" s="89"/>
    </row>
    <row r="13" spans="1:18" ht="13" x14ac:dyDescent="0.3">
      <c r="A13" s="37"/>
      <c r="B13" s="72" t="s">
        <v>49</v>
      </c>
      <c r="C13" s="39"/>
      <c r="D13" s="39"/>
      <c r="E13" s="76">
        <f>'Flex (HAF)'!E13</f>
        <v>613.19000000000005</v>
      </c>
      <c r="F13" s="39"/>
      <c r="G13" s="39"/>
      <c r="H13" s="41"/>
      <c r="I13" s="39"/>
      <c r="J13" s="39"/>
      <c r="K13" s="39" t="s">
        <v>50</v>
      </c>
      <c r="L13" s="39"/>
      <c r="M13" s="39"/>
      <c r="N13" s="39"/>
      <c r="O13" s="39"/>
      <c r="P13" s="53">
        <f ca="1">IF(P9="NO",0,P5)</f>
        <v>0</v>
      </c>
      <c r="Q13" s="45"/>
      <c r="R13" s="89"/>
    </row>
    <row r="14" spans="1:18" ht="13" x14ac:dyDescent="0.3">
      <c r="A14" s="37"/>
      <c r="B14" s="39" t="s">
        <v>51</v>
      </c>
      <c r="C14" s="39"/>
      <c r="D14" s="39"/>
      <c r="E14" s="54">
        <f>Inputs!N19</f>
        <v>0</v>
      </c>
      <c r="F14" s="55" t="s">
        <v>52</v>
      </c>
      <c r="G14" s="39"/>
      <c r="H14" s="41"/>
      <c r="I14" s="39"/>
      <c r="J14" s="39"/>
      <c r="K14" s="39" t="s">
        <v>53</v>
      </c>
      <c r="L14" s="39"/>
      <c r="M14" s="39"/>
      <c r="N14" s="39"/>
      <c r="O14" s="39"/>
      <c r="P14" s="53">
        <f ca="1">IF(P9="NO",0,E28-P13)</f>
        <v>0</v>
      </c>
      <c r="Q14" s="45"/>
      <c r="R14" s="89"/>
    </row>
    <row r="15" spans="1:18" x14ac:dyDescent="0.25">
      <c r="A15" s="37"/>
      <c r="B15" s="39" t="s">
        <v>54</v>
      </c>
      <c r="C15" s="39"/>
      <c r="D15" s="39"/>
      <c r="E15" s="114">
        <f>Inputs!N20</f>
        <v>0</v>
      </c>
      <c r="F15" s="55" t="s">
        <v>52</v>
      </c>
      <c r="G15" s="39"/>
      <c r="H15" s="41"/>
      <c r="I15" s="39"/>
      <c r="J15" s="72" t="s">
        <v>55</v>
      </c>
      <c r="K15" s="39"/>
      <c r="L15" s="39"/>
      <c r="M15" s="39"/>
      <c r="N15" s="39"/>
      <c r="O15" s="39"/>
      <c r="P15" s="56"/>
      <c r="Q15" s="39"/>
      <c r="R15" s="89"/>
    </row>
    <row r="16" spans="1:18" x14ac:dyDescent="0.25">
      <c r="A16" s="37"/>
      <c r="B16" s="39" t="s">
        <v>56</v>
      </c>
      <c r="C16" s="39"/>
      <c r="D16" s="39"/>
      <c r="E16" s="64">
        <f>Inputs!N21</f>
        <v>0</v>
      </c>
      <c r="F16" s="55" t="s">
        <v>52</v>
      </c>
      <c r="G16" s="39"/>
      <c r="H16" s="41"/>
      <c r="I16" s="39"/>
      <c r="J16" s="39"/>
      <c r="K16" s="39" t="s">
        <v>50</v>
      </c>
      <c r="L16" s="39"/>
      <c r="M16" s="39"/>
      <c r="N16" s="39"/>
      <c r="O16" s="39"/>
      <c r="P16" s="112">
        <f ca="1">E28*0.7</f>
        <v>88183.358059999999</v>
      </c>
      <c r="Q16" s="39"/>
      <c r="R16" s="89"/>
    </row>
    <row r="17" spans="1:21" x14ac:dyDescent="0.25">
      <c r="A17" s="37"/>
      <c r="B17" s="40"/>
      <c r="C17" s="39"/>
      <c r="D17" s="39"/>
      <c r="E17" s="66"/>
      <c r="F17" s="57"/>
      <c r="G17" s="39"/>
      <c r="H17" s="41"/>
      <c r="I17" s="39"/>
      <c r="J17" s="39"/>
      <c r="K17" s="39" t="s">
        <v>53</v>
      </c>
      <c r="L17" s="39"/>
      <c r="M17" s="39"/>
      <c r="N17" s="39"/>
      <c r="O17" s="39"/>
      <c r="P17" s="53">
        <f ca="1">IF(P9="NO",0,E28*0.3)</f>
        <v>0</v>
      </c>
      <c r="Q17" s="39"/>
      <c r="R17" s="89"/>
    </row>
    <row r="18" spans="1:21" ht="13" x14ac:dyDescent="0.3">
      <c r="A18" s="37"/>
      <c r="B18" s="45" t="s">
        <v>38</v>
      </c>
      <c r="C18" s="45"/>
      <c r="D18" s="45"/>
      <c r="E18" s="65">
        <f>SUM(E13:E17)</f>
        <v>613.19000000000005</v>
      </c>
      <c r="F18" s="55"/>
      <c r="G18" s="39"/>
      <c r="H18" s="41"/>
      <c r="I18" s="39"/>
      <c r="J18" s="59" t="s">
        <v>57</v>
      </c>
      <c r="K18" s="39"/>
      <c r="L18" s="39"/>
      <c r="M18" s="39"/>
      <c r="N18" s="39"/>
      <c r="O18" s="39"/>
      <c r="P18" s="183">
        <f ca="1">IF(P14&lt;P17,P14,P17)</f>
        <v>0</v>
      </c>
      <c r="Q18" s="39"/>
      <c r="R18" s="89"/>
    </row>
    <row r="19" spans="1:21" x14ac:dyDescent="0.25">
      <c r="A19" s="37"/>
      <c r="B19" s="39"/>
      <c r="C19" s="39"/>
      <c r="D19" s="39"/>
      <c r="E19" s="51"/>
      <c r="F19" s="39"/>
      <c r="G19" s="39"/>
      <c r="H19" s="41"/>
      <c r="I19" s="39"/>
      <c r="J19" s="39"/>
      <c r="K19" s="39"/>
      <c r="L19" s="39"/>
      <c r="M19" s="39"/>
      <c r="N19" s="39"/>
      <c r="O19" s="39"/>
      <c r="P19" s="39"/>
      <c r="Q19" s="39"/>
      <c r="R19" s="89"/>
      <c r="U19" s="199"/>
    </row>
    <row r="20" spans="1:21" ht="13" x14ac:dyDescent="0.3">
      <c r="A20" s="37"/>
      <c r="B20" s="45" t="s">
        <v>58</v>
      </c>
      <c r="C20" s="39"/>
      <c r="D20" s="39"/>
      <c r="E20" s="131">
        <f ca="1">Inputs!N16-ROUNDUP(DAYS360(Inputs!N17,Inputs!N27)/30,0)</f>
        <v>396</v>
      </c>
      <c r="F20" s="40" t="s">
        <v>59</v>
      </c>
      <c r="G20" s="39"/>
      <c r="H20" s="41"/>
      <c r="I20" s="39"/>
      <c r="J20" s="73" t="s">
        <v>60</v>
      </c>
      <c r="K20" s="39"/>
      <c r="L20" s="39"/>
      <c r="M20" s="39"/>
      <c r="N20" s="39"/>
      <c r="O20" s="39"/>
      <c r="P20" s="58">
        <f ca="1">IF(P9="YES",E28-P18,E28)</f>
        <v>125976.2258</v>
      </c>
      <c r="Q20" s="39"/>
      <c r="R20" s="89"/>
    </row>
    <row r="21" spans="1:21" ht="13" x14ac:dyDescent="0.3">
      <c r="A21" s="37"/>
      <c r="B21" s="45"/>
      <c r="C21" s="39"/>
      <c r="D21" s="39"/>
      <c r="E21" s="77"/>
      <c r="F21" s="40"/>
      <c r="G21" s="39"/>
      <c r="H21" s="41"/>
      <c r="I21" s="39"/>
      <c r="J21" s="39"/>
      <c r="K21" s="39"/>
      <c r="L21" s="39"/>
      <c r="M21" s="39"/>
      <c r="N21" s="39"/>
      <c r="O21" s="39"/>
      <c r="P21" s="39"/>
      <c r="Q21" s="39"/>
      <c r="R21" s="89"/>
    </row>
    <row r="22" spans="1:21" ht="13" x14ac:dyDescent="0.25">
      <c r="A22" s="37"/>
      <c r="B22" s="39"/>
      <c r="C22" s="39"/>
      <c r="D22" s="39"/>
      <c r="E22" s="39"/>
      <c r="F22" s="39"/>
      <c r="G22" s="39"/>
      <c r="H22" s="41"/>
      <c r="I22" s="292" t="s">
        <v>61</v>
      </c>
      <c r="J22" s="293"/>
      <c r="K22" s="293"/>
      <c r="L22" s="293"/>
      <c r="M22" s="293"/>
      <c r="N22" s="293"/>
      <c r="O22" s="293"/>
      <c r="P22" s="293"/>
      <c r="Q22" s="293"/>
      <c r="R22" s="294"/>
    </row>
    <row r="23" spans="1:21" ht="13" x14ac:dyDescent="0.25">
      <c r="A23" s="292" t="s">
        <v>62</v>
      </c>
      <c r="B23" s="293"/>
      <c r="C23" s="293"/>
      <c r="D23" s="293"/>
      <c r="E23" s="293"/>
      <c r="F23" s="293"/>
      <c r="G23" s="294"/>
      <c r="H23" s="41"/>
      <c r="I23" s="39"/>
      <c r="J23" s="60"/>
      <c r="K23" s="39"/>
      <c r="L23" s="39"/>
      <c r="M23" s="39"/>
      <c r="N23" s="39"/>
      <c r="O23" s="39"/>
      <c r="P23" s="39"/>
      <c r="Q23" s="39"/>
      <c r="R23" s="89"/>
    </row>
    <row r="24" spans="1:21" ht="13" x14ac:dyDescent="0.3">
      <c r="A24" s="37"/>
      <c r="B24" s="49"/>
      <c r="C24" s="39"/>
      <c r="D24" s="39"/>
      <c r="E24" s="51"/>
      <c r="F24" s="39"/>
      <c r="G24" s="39"/>
      <c r="H24" s="41"/>
      <c r="J24" s="151" t="s">
        <v>108</v>
      </c>
      <c r="K24" s="149"/>
      <c r="L24" s="149"/>
      <c r="M24" s="149"/>
      <c r="N24" s="149"/>
      <c r="O24" s="149"/>
      <c r="P24" s="149"/>
      <c r="Q24" s="149"/>
      <c r="R24" s="150"/>
    </row>
    <row r="25" spans="1:21" x14ac:dyDescent="0.25">
      <c r="A25" s="37"/>
      <c r="B25" s="72" t="s">
        <v>63</v>
      </c>
      <c r="C25" s="39"/>
      <c r="D25" s="39"/>
      <c r="E25" s="54">
        <f>Inputs!N29</f>
        <v>112920.66</v>
      </c>
      <c r="F25" s="72" t="s">
        <v>52</v>
      </c>
      <c r="G25" s="39"/>
      <c r="H25" s="41"/>
      <c r="I25" s="39"/>
      <c r="J25" s="72" t="s">
        <v>64</v>
      </c>
      <c r="K25" s="39"/>
      <c r="L25" s="39"/>
      <c r="M25" s="39"/>
      <c r="N25" s="39"/>
      <c r="O25" s="39"/>
      <c r="P25" s="204">
        <f>-PV(E36/12,E42,E13*0.8)</f>
        <v>134314.73556398455</v>
      </c>
      <c r="Q25" s="39"/>
      <c r="R25" s="89"/>
    </row>
    <row r="26" spans="1:21" x14ac:dyDescent="0.25">
      <c r="A26" s="37"/>
      <c r="B26" s="72" t="str">
        <f>IF(Inputs!N18&gt;0,"Arrears and Forbearance","Total Eligible Arrears")</f>
        <v>Total Eligible Arrears</v>
      </c>
      <c r="C26" s="39"/>
      <c r="D26" s="39"/>
      <c r="E26" s="54">
        <f ca="1">Inputs!$N$36</f>
        <v>13055.5658</v>
      </c>
      <c r="F26" s="71" t="s">
        <v>126</v>
      </c>
      <c r="G26" s="39"/>
      <c r="H26" s="41"/>
      <c r="J26" s="136" t="s">
        <v>66</v>
      </c>
      <c r="P26" s="144">
        <f ca="1">IF(P25&gt;P20,0,P20-P25)</f>
        <v>0</v>
      </c>
      <c r="Q26" s="39"/>
      <c r="R26" s="89"/>
    </row>
    <row r="27" spans="1:21" x14ac:dyDescent="0.25">
      <c r="A27" s="37"/>
      <c r="B27" s="72" t="s">
        <v>120</v>
      </c>
      <c r="C27" s="39"/>
      <c r="D27" s="39"/>
      <c r="E27" s="54">
        <f>0</f>
        <v>0</v>
      </c>
      <c r="F27" s="71"/>
      <c r="G27" s="39"/>
      <c r="H27" s="41"/>
      <c r="I27" s="39"/>
      <c r="Q27" s="47"/>
      <c r="R27" s="89"/>
    </row>
    <row r="28" spans="1:21" ht="13" x14ac:dyDescent="0.3">
      <c r="A28" s="37"/>
      <c r="B28" s="45" t="s">
        <v>65</v>
      </c>
      <c r="C28" s="45"/>
      <c r="D28" s="45"/>
      <c r="E28" s="58">
        <f ca="1">SUM(E25:E26)-E27</f>
        <v>125976.2258</v>
      </c>
      <c r="F28" s="55"/>
      <c r="G28" s="39"/>
      <c r="H28" s="41"/>
      <c r="I28" s="39"/>
      <c r="J28" s="45" t="s">
        <v>67</v>
      </c>
      <c r="K28" s="39"/>
      <c r="L28" s="125"/>
      <c r="M28" s="126"/>
      <c r="N28" s="125"/>
      <c r="O28" s="124"/>
      <c r="P28" s="77"/>
      <c r="Q28" s="39"/>
      <c r="R28" s="89"/>
    </row>
    <row r="29" spans="1:21" x14ac:dyDescent="0.25">
      <c r="A29" s="37"/>
      <c r="B29" s="39"/>
      <c r="C29" s="39"/>
      <c r="D29" s="39"/>
      <c r="E29" s="51"/>
      <c r="F29" s="39"/>
      <c r="G29" s="39"/>
      <c r="H29" s="41"/>
      <c r="I29" s="39"/>
      <c r="J29" s="72"/>
      <c r="K29" s="72" t="s">
        <v>69</v>
      </c>
      <c r="L29" s="39"/>
      <c r="M29" s="39"/>
      <c r="N29" s="39"/>
      <c r="O29" s="39"/>
      <c r="P29" s="112">
        <f ca="1">IF(P20-P5*0.8&lt;0,0,P6-P5*0.8)</f>
        <v>0</v>
      </c>
      <c r="Q29" s="39"/>
      <c r="R29" s="89"/>
    </row>
    <row r="30" spans="1:21" ht="12.75" customHeight="1" x14ac:dyDescent="0.25">
      <c r="A30" s="37"/>
      <c r="B30" s="39"/>
      <c r="C30" s="39"/>
      <c r="D30" s="39"/>
      <c r="E30" s="51"/>
      <c r="F30" s="39"/>
      <c r="G30" s="39"/>
      <c r="H30" s="41"/>
      <c r="I30" s="39"/>
      <c r="J30" s="39"/>
      <c r="K30" s="72" t="s">
        <v>70</v>
      </c>
      <c r="L30" s="39"/>
      <c r="M30" s="39"/>
      <c r="N30" s="39"/>
      <c r="O30" s="39"/>
      <c r="P30" s="144">
        <f ca="1">P6*0.3</f>
        <v>37792.867740000002</v>
      </c>
      <c r="Q30" s="39"/>
      <c r="R30" s="89"/>
      <c r="T30" s="198"/>
    </row>
    <row r="31" spans="1:21" ht="13" x14ac:dyDescent="0.25">
      <c r="A31" s="292" t="s">
        <v>68</v>
      </c>
      <c r="B31" s="293"/>
      <c r="C31" s="293"/>
      <c r="D31" s="293"/>
      <c r="E31" s="293"/>
      <c r="F31" s="293"/>
      <c r="G31" s="294"/>
      <c r="H31" s="41"/>
      <c r="I31" s="39"/>
      <c r="J31" s="72" t="s">
        <v>71</v>
      </c>
      <c r="K31" s="72"/>
      <c r="L31" s="72"/>
      <c r="M31" s="72"/>
      <c r="N31" s="39"/>
      <c r="O31" s="39"/>
      <c r="P31" s="144">
        <f ca="1">MIN(P26,P29-P18,P30-P18)</f>
        <v>0</v>
      </c>
      <c r="Q31" s="39"/>
      <c r="R31" s="89"/>
    </row>
    <row r="32" spans="1:21" x14ac:dyDescent="0.25">
      <c r="A32" s="37"/>
      <c r="B32" s="39"/>
      <c r="C32" s="39"/>
      <c r="D32" s="39"/>
      <c r="E32" s="51"/>
      <c r="F32" s="39"/>
      <c r="G32" s="39"/>
      <c r="H32" s="205"/>
      <c r="I32" s="39"/>
      <c r="Q32" s="86"/>
      <c r="R32" s="89"/>
    </row>
    <row r="33" spans="1:22" ht="13" x14ac:dyDescent="0.3">
      <c r="A33" s="37"/>
      <c r="B33" s="13" t="s">
        <v>107</v>
      </c>
      <c r="C33" s="1"/>
      <c r="D33" s="1"/>
      <c r="E33" s="1"/>
      <c r="F33" s="45"/>
      <c r="G33" s="72"/>
      <c r="H33" s="205"/>
      <c r="I33" s="290" t="str">
        <f ca="1">IF(-PMT(E36/12,E42,P20-P31)&gt;E13,"P&amp;I Reduction Not Possible; Borrower Ineligible","MODIFICATION RESULTS")</f>
        <v>MODIFICATION RESULTS</v>
      </c>
      <c r="J33" s="290"/>
      <c r="K33" s="290"/>
      <c r="L33" s="290"/>
      <c r="M33" s="290"/>
      <c r="N33" s="290"/>
      <c r="O33" s="290"/>
      <c r="P33" s="291"/>
      <c r="Q33" s="290"/>
      <c r="R33" s="290"/>
      <c r="V33" s="198"/>
    </row>
    <row r="34" spans="1:22" ht="13.5" x14ac:dyDescent="0.3">
      <c r="A34" s="37"/>
      <c r="B34" s="90" t="str">
        <f>IF(Owner=1,"Fannie Mae Mod Rate",IF(Owner=2,"Freddie Mac Mod Rate",0))</f>
        <v>Fannie Mae Mod Rate</v>
      </c>
      <c r="C34" s="206"/>
      <c r="D34" s="1"/>
      <c r="E34" s="133">
        <f>Inputs!N6</f>
        <v>3.125E-2</v>
      </c>
      <c r="F34" s="45"/>
      <c r="G34" s="72"/>
      <c r="H34" s="205"/>
      <c r="I34" s="146"/>
      <c r="J34" s="146"/>
      <c r="K34" s="146"/>
      <c r="L34" s="146"/>
      <c r="M34" s="146"/>
      <c r="N34" s="146"/>
      <c r="O34" s="146"/>
      <c r="P34" s="148"/>
      <c r="Q34" s="146"/>
      <c r="R34" s="147"/>
    </row>
    <row r="35" spans="1:22" ht="13" x14ac:dyDescent="0.3">
      <c r="A35" s="37"/>
      <c r="B35" s="69" t="str">
        <f>IF(RateType="Fixed Rate","Current Rate",Inputs!K14)</f>
        <v>Current Rate</v>
      </c>
      <c r="C35" s="2"/>
      <c r="D35" s="2"/>
      <c r="E35" s="135">
        <f>IF(RateType="Fixed Rate",Inputs!N11,Inputs!N14)</f>
        <v>3.875E-2</v>
      </c>
      <c r="F35" s="45"/>
      <c r="G35" s="72"/>
      <c r="H35" s="205"/>
      <c r="I35" s="39"/>
      <c r="J35" s="72" t="s">
        <v>73</v>
      </c>
      <c r="K35" s="39"/>
      <c r="L35" s="39"/>
      <c r="M35" s="39"/>
      <c r="N35" s="39"/>
      <c r="O35" s="39"/>
      <c r="P35" s="209">
        <f ca="1">-PMT(TierTwo/12,480,P37-P38)</f>
        <v>460.0976151957874</v>
      </c>
      <c r="Q35" s="40"/>
      <c r="R35" s="89"/>
    </row>
    <row r="36" spans="1:22" ht="13" x14ac:dyDescent="0.3">
      <c r="A36" s="37"/>
      <c r="B36" s="45" t="s">
        <v>72</v>
      </c>
      <c r="C36" s="49"/>
      <c r="D36" s="39"/>
      <c r="E36" s="135">
        <f>IF(E34&gt;=E35,E35,E34)</f>
        <v>3.125E-2</v>
      </c>
      <c r="F36" s="45"/>
      <c r="G36" s="72"/>
      <c r="H36" s="205"/>
      <c r="I36" s="39"/>
      <c r="J36" s="72" t="s">
        <v>74</v>
      </c>
      <c r="K36" s="39"/>
      <c r="L36" s="39"/>
      <c r="M36" s="39"/>
      <c r="N36" s="39"/>
      <c r="O36" s="39"/>
      <c r="P36" s="208">
        <f ca="1">PIREDUCTION+SUM(E14:E16)</f>
        <v>460.0976151957874</v>
      </c>
      <c r="Q36" s="40"/>
      <c r="R36" s="89"/>
    </row>
    <row r="37" spans="1:22" ht="13" x14ac:dyDescent="0.3">
      <c r="A37" s="37"/>
      <c r="B37" s="39"/>
      <c r="C37" s="39"/>
      <c r="D37" s="39"/>
      <c r="E37" s="39"/>
      <c r="F37" s="45"/>
      <c r="G37" s="39"/>
      <c r="H37" s="41"/>
      <c r="I37" s="39"/>
      <c r="J37" s="137" t="s">
        <v>75</v>
      </c>
      <c r="K37" s="39"/>
      <c r="L37" s="39"/>
      <c r="M37" s="39"/>
      <c r="N37" s="39"/>
      <c r="O37" s="39"/>
      <c r="P37" s="208">
        <f ca="1">UPB</f>
        <v>125976.2258</v>
      </c>
      <c r="Q37" s="40"/>
      <c r="R37" s="89"/>
    </row>
    <row r="38" spans="1:22" ht="13" x14ac:dyDescent="0.3">
      <c r="A38" s="37"/>
      <c r="B38" s="45"/>
      <c r="C38" s="45"/>
      <c r="D38" s="45"/>
      <c r="E38" s="61"/>
      <c r="F38" s="45"/>
      <c r="G38" s="39"/>
      <c r="H38" s="41"/>
      <c r="I38" s="39"/>
      <c r="J38" s="137" t="s">
        <v>77</v>
      </c>
      <c r="K38" s="39"/>
      <c r="L38" s="39"/>
      <c r="M38" s="39"/>
      <c r="N38" s="39"/>
      <c r="O38" s="39"/>
      <c r="P38" s="208">
        <f ca="1">P37-(P20-P31)</f>
        <v>0</v>
      </c>
      <c r="Q38" s="87"/>
      <c r="R38" s="89"/>
    </row>
    <row r="39" spans="1:22" ht="13" x14ac:dyDescent="0.3">
      <c r="A39" s="37"/>
      <c r="B39" s="45"/>
      <c r="C39" s="39"/>
      <c r="D39" s="39"/>
      <c r="E39" s="39"/>
      <c r="F39" s="39"/>
      <c r="G39" s="39"/>
      <c r="H39" s="41"/>
      <c r="I39" s="39"/>
      <c r="J39" s="72" t="s">
        <v>78</v>
      </c>
      <c r="K39" s="39"/>
      <c r="L39" s="39"/>
      <c r="M39" s="39"/>
      <c r="N39" s="39"/>
      <c r="O39" s="39"/>
      <c r="P39" s="142">
        <f>E36</f>
        <v>3.125E-2</v>
      </c>
      <c r="Q39" s="40"/>
      <c r="R39" s="89"/>
    </row>
    <row r="40" spans="1:22" ht="12.75" customHeight="1" x14ac:dyDescent="0.25">
      <c r="A40" s="292" t="s">
        <v>76</v>
      </c>
      <c r="B40" s="293"/>
      <c r="C40" s="293"/>
      <c r="D40" s="293"/>
      <c r="E40" s="293"/>
      <c r="F40" s="293"/>
      <c r="G40" s="294"/>
      <c r="H40" s="41"/>
      <c r="I40" s="39"/>
      <c r="J40" s="72" t="s">
        <v>81</v>
      </c>
      <c r="K40" s="39"/>
      <c r="L40" s="39"/>
      <c r="M40" s="39"/>
      <c r="N40" s="39"/>
      <c r="O40" s="39"/>
      <c r="P40" s="143">
        <v>480</v>
      </c>
      <c r="Q40" s="39"/>
      <c r="R40" s="89"/>
    </row>
    <row r="41" spans="1:22" ht="15.5" x14ac:dyDescent="0.35">
      <c r="A41" s="37"/>
      <c r="B41" s="39"/>
      <c r="C41" s="39"/>
      <c r="D41" s="39"/>
      <c r="E41" s="62"/>
      <c r="F41" s="39"/>
      <c r="G41" s="39"/>
      <c r="H41" s="41"/>
      <c r="I41" s="39"/>
      <c r="J41" s="72"/>
      <c r="K41" s="39"/>
      <c r="L41" s="39"/>
      <c r="M41" s="39"/>
      <c r="N41" s="39"/>
      <c r="O41" s="39"/>
      <c r="P41" s="207"/>
      <c r="Q41" s="39"/>
      <c r="R41" s="89"/>
    </row>
    <row r="42" spans="1:22" ht="13" x14ac:dyDescent="0.3">
      <c r="A42" s="37"/>
      <c r="B42" s="45" t="s">
        <v>79</v>
      </c>
      <c r="C42" s="39"/>
      <c r="D42" s="39"/>
      <c r="E42" s="113">
        <v>480</v>
      </c>
      <c r="F42" s="72" t="s">
        <v>80</v>
      </c>
      <c r="G42" s="39"/>
      <c r="H42" s="41"/>
      <c r="I42" s="39"/>
      <c r="J42" s="49"/>
      <c r="K42" s="39"/>
      <c r="L42" s="39"/>
      <c r="M42" s="39"/>
      <c r="N42" s="39"/>
      <c r="O42" s="39"/>
      <c r="P42" s="39"/>
      <c r="Q42" s="39"/>
      <c r="R42" s="89"/>
    </row>
    <row r="43" spans="1:22" x14ac:dyDescent="0.25">
      <c r="A43" s="115"/>
      <c r="B43" s="63"/>
      <c r="C43" s="63"/>
      <c r="D43" s="63"/>
      <c r="E43" s="63"/>
      <c r="F43" s="63"/>
      <c r="G43" s="63"/>
      <c r="H43" s="41"/>
      <c r="I43" s="63"/>
      <c r="J43" s="63"/>
      <c r="K43" s="63"/>
      <c r="L43" s="63"/>
      <c r="M43" s="63"/>
      <c r="N43" s="63"/>
      <c r="O43" s="63"/>
      <c r="P43" s="63"/>
      <c r="Q43" s="88" t="s">
        <v>82</v>
      </c>
      <c r="R43" s="91"/>
    </row>
  </sheetData>
  <customSheetViews>
    <customSheetView guid="{0367687A-2E80-4414-9E57-D64905950517}" showGridLines="0">
      <selection activeCell="D45" sqref="D45"/>
    </customSheetView>
  </customSheetViews>
  <mergeCells count="8">
    <mergeCell ref="A23:G23"/>
    <mergeCell ref="A31:G31"/>
    <mergeCell ref="A40:G40"/>
    <mergeCell ref="I3:R3"/>
    <mergeCell ref="A1:R1"/>
    <mergeCell ref="I22:R22"/>
    <mergeCell ref="I33:R33"/>
    <mergeCell ref="C4:F4"/>
  </mergeCells>
  <phoneticPr fontId="2" type="noConversion"/>
  <conditionalFormatting sqref="J11:P18">
    <cfRule type="expression" dxfId="23" priority="4">
      <formula>IF($P$9="NO",1,0)</formula>
    </cfRule>
  </conditionalFormatting>
  <conditionalFormatting sqref="J35:P41">
    <cfRule type="expression" dxfId="22" priority="148">
      <formula>IF(-PMT($E$36/12,$E$42,$P$20-$P$31)&gt;$E$13,1,0)</formula>
    </cfRule>
  </conditionalFormatting>
  <pageMargins left="0.75" right="0.75" top="1" bottom="1" header="0.5" footer="0.5"/>
  <pageSetup scale="82" orientation="landscape" r:id="rId1"/>
  <headerFooter alignWithMargins="0">
    <oddHeader>&amp;L&amp;14&amp;F&amp;10
Run on: &amp;D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8C81B9BD-CF95-4A6F-9126-378D6CA44C76}">
            <xm:f>IF(Inputs!$N$26&gt;=DATE(2020,1,1),0,1)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H44:R44 A2:R43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494AF-C09F-4C68-9457-0187588855F1}">
  <sheetPr>
    <tabColor rgb="FFFF0000"/>
    <pageSetUpPr autoPageBreaks="0"/>
  </sheetPr>
  <dimension ref="A1:V43"/>
  <sheetViews>
    <sheetView showGridLines="0" topLeftCell="A4" zoomScaleNormal="100" workbookViewId="0">
      <selection activeCell="K17" sqref="K17"/>
    </sheetView>
  </sheetViews>
  <sheetFormatPr defaultColWidth="9.1796875" defaultRowHeight="12.5" x14ac:dyDescent="0.25"/>
  <cols>
    <col min="1" max="1" width="3" style="36" customWidth="1"/>
    <col min="2" max="3" width="9.1796875" style="36"/>
    <col min="4" max="4" width="12.7265625" style="36" customWidth="1"/>
    <col min="5" max="5" width="15.453125" style="36" customWidth="1"/>
    <col min="6" max="6" width="8.81640625" style="36" customWidth="1"/>
    <col min="7" max="7" width="10" style="36" customWidth="1"/>
    <col min="8" max="8" width="4.453125" style="36" customWidth="1"/>
    <col min="9" max="9" width="6.453125" style="36" customWidth="1"/>
    <col min="10" max="10" width="6.26953125" style="36" customWidth="1"/>
    <col min="11" max="11" width="12.81640625" style="36" customWidth="1"/>
    <col min="12" max="12" width="7.453125" style="36" customWidth="1"/>
    <col min="13" max="13" width="3.1796875" style="36" customWidth="1"/>
    <col min="14" max="14" width="4.7265625" style="36" customWidth="1"/>
    <col min="15" max="15" width="10.453125" style="36" customWidth="1"/>
    <col min="16" max="16" width="17.7265625" style="36" customWidth="1"/>
    <col min="17" max="17" width="2.1796875" style="36" customWidth="1"/>
    <col min="18" max="18" width="2.7265625" style="75" customWidth="1"/>
    <col min="19" max="19" width="9.1796875" style="36"/>
    <col min="20" max="20" width="9.7265625" style="36" bestFit="1" customWidth="1"/>
    <col min="21" max="21" width="9.1796875" style="36"/>
    <col min="22" max="22" width="10.26953125" style="36" bestFit="1" customWidth="1"/>
    <col min="23" max="16384" width="9.1796875" style="36"/>
  </cols>
  <sheetData>
    <row r="1" spans="1:18" ht="17.5" x14ac:dyDescent="0.35">
      <c r="A1" s="295" t="str">
        <f ca="1">IF(AND(Inputs!N28&lt;=18,Inputs!N26&gt;=DATE(2020,1,1)),IF(Owner=1,"FANNIE MAE FLEX MODIFICATION (COVID IMPACTED)","FREDDIE MAC FLEX MODIFICATION (COVID IMPACTED)"),"NOT ELIGIBLE FOR COVID FLEX MODIFICATION")</f>
        <v>NOT ELIGIBLE FOR COVID FLEX MODIFICATION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7"/>
    </row>
    <row r="2" spans="1:18" x14ac:dyDescent="0.25">
      <c r="A2" s="33"/>
      <c r="B2" s="74"/>
      <c r="C2" s="34"/>
      <c r="D2" s="34"/>
      <c r="E2" s="34"/>
      <c r="F2" s="34"/>
      <c r="G2" s="34"/>
      <c r="H2" s="35"/>
      <c r="I2" s="34"/>
      <c r="J2" s="34"/>
      <c r="K2" s="34"/>
      <c r="L2" s="34"/>
      <c r="M2" s="34"/>
      <c r="N2" s="34"/>
      <c r="O2" s="34"/>
      <c r="P2" s="34"/>
      <c r="Q2" s="34"/>
      <c r="R2" s="92"/>
    </row>
    <row r="3" spans="1:18" ht="12.75" customHeight="1" x14ac:dyDescent="0.25">
      <c r="A3" s="37"/>
      <c r="B3" s="38"/>
      <c r="C3" s="39"/>
      <c r="D3" s="40"/>
      <c r="E3" s="39"/>
      <c r="F3" s="39"/>
      <c r="G3" s="39"/>
      <c r="H3" s="41"/>
      <c r="I3" s="292" t="s">
        <v>41</v>
      </c>
      <c r="J3" s="293"/>
      <c r="K3" s="293"/>
      <c r="L3" s="293"/>
      <c r="M3" s="293"/>
      <c r="N3" s="293"/>
      <c r="O3" s="293"/>
      <c r="P3" s="293"/>
      <c r="Q3" s="293"/>
      <c r="R3" s="294"/>
    </row>
    <row r="4" spans="1:18" ht="13" customHeight="1" x14ac:dyDescent="0.25">
      <c r="A4" s="37"/>
      <c r="B4" s="39"/>
      <c r="C4" s="299" t="s">
        <v>1</v>
      </c>
      <c r="D4" s="299"/>
      <c r="E4" s="299"/>
      <c r="F4" s="299"/>
      <c r="G4" s="39"/>
      <c r="H4" s="41"/>
      <c r="I4" s="39"/>
      <c r="J4" s="39"/>
      <c r="K4" s="39"/>
      <c r="L4" s="39"/>
      <c r="M4" s="39"/>
      <c r="N4" s="39"/>
      <c r="O4" s="39"/>
      <c r="P4" s="39"/>
      <c r="Q4" s="39"/>
      <c r="R4" s="89"/>
    </row>
    <row r="5" spans="1:18" x14ac:dyDescent="0.25">
      <c r="A5" s="37"/>
      <c r="B5" s="39"/>
      <c r="C5" s="39"/>
      <c r="D5" s="104" t="s">
        <v>3</v>
      </c>
      <c r="E5" s="105" t="s">
        <v>4</v>
      </c>
      <c r="F5" s="39"/>
      <c r="G5" s="39"/>
      <c r="H5" s="41"/>
      <c r="I5" s="39"/>
      <c r="J5" s="39" t="s">
        <v>42</v>
      </c>
      <c r="K5" s="39"/>
      <c r="L5" s="39"/>
      <c r="M5" s="39"/>
      <c r="N5" s="39"/>
      <c r="O5" s="39"/>
      <c r="P5" s="202">
        <f>Value</f>
        <v>250000</v>
      </c>
      <c r="Q5" s="39"/>
      <c r="R5" s="89"/>
    </row>
    <row r="6" spans="1:18" x14ac:dyDescent="0.25">
      <c r="A6" s="37"/>
      <c r="B6" s="42"/>
      <c r="C6" s="42"/>
      <c r="D6" s="106" t="s">
        <v>5</v>
      </c>
      <c r="E6" s="107" t="s">
        <v>6</v>
      </c>
      <c r="F6" s="39"/>
      <c r="G6" s="39"/>
      <c r="H6" s="41"/>
      <c r="I6" s="39"/>
      <c r="J6" s="72" t="s">
        <v>43</v>
      </c>
      <c r="K6" s="39"/>
      <c r="L6" s="39"/>
      <c r="M6" s="39"/>
      <c r="N6" s="39"/>
      <c r="O6" s="39"/>
      <c r="P6" s="43">
        <f ca="1">UPB</f>
        <v>125976.2258</v>
      </c>
      <c r="Q6" s="39"/>
      <c r="R6" s="203"/>
    </row>
    <row r="7" spans="1:18" ht="13" x14ac:dyDescent="0.3">
      <c r="A7" s="37"/>
      <c r="B7" s="39"/>
      <c r="C7" s="39"/>
      <c r="D7" s="39"/>
      <c r="E7" s="39"/>
      <c r="F7" s="39"/>
      <c r="G7" s="39"/>
      <c r="H7" s="41"/>
      <c r="I7" s="39"/>
      <c r="J7" s="39" t="s">
        <v>44</v>
      </c>
      <c r="K7" s="39"/>
      <c r="L7" s="39"/>
      <c r="M7" s="39"/>
      <c r="N7" s="39"/>
      <c r="O7" s="39"/>
      <c r="P7" s="44">
        <f ca="1">P6/P5</f>
        <v>0.50390490320000003</v>
      </c>
      <c r="Q7" s="85"/>
      <c r="R7" s="203"/>
    </row>
    <row r="8" spans="1:18" ht="13" x14ac:dyDescent="0.3">
      <c r="A8" s="37"/>
      <c r="B8" s="45" t="s">
        <v>39</v>
      </c>
      <c r="C8" s="45"/>
      <c r="D8" s="45"/>
      <c r="E8" s="46">
        <f>GMI</f>
        <v>1625</v>
      </c>
      <c r="F8" s="39"/>
      <c r="G8" s="39"/>
      <c r="H8" s="41"/>
      <c r="I8" s="39"/>
      <c r="J8" s="39"/>
      <c r="K8" s="39"/>
      <c r="L8" s="39"/>
      <c r="M8" s="39"/>
      <c r="N8" s="39"/>
      <c r="O8" s="39"/>
      <c r="P8" s="47"/>
      <c r="Q8" s="39"/>
      <c r="R8" s="203"/>
    </row>
    <row r="9" spans="1:18" ht="13" x14ac:dyDescent="0.3">
      <c r="A9" s="37"/>
      <c r="B9" s="39"/>
      <c r="C9" s="39"/>
      <c r="D9" s="39"/>
      <c r="E9" s="39"/>
      <c r="F9" s="39"/>
      <c r="G9" s="39"/>
      <c r="H9" s="41"/>
      <c r="I9" s="39"/>
      <c r="J9" s="45" t="s">
        <v>45</v>
      </c>
      <c r="K9" s="39"/>
      <c r="L9" s="39"/>
      <c r="M9" s="39"/>
      <c r="N9" s="39"/>
      <c r="O9" s="39"/>
      <c r="P9" s="48" t="str">
        <f ca="1">IF(P7&gt;1,"YES","NO")</f>
        <v>NO</v>
      </c>
      <c r="Q9" s="39"/>
      <c r="R9" s="203"/>
    </row>
    <row r="10" spans="1:18" ht="13" x14ac:dyDescent="0.3">
      <c r="A10" s="37"/>
      <c r="B10" s="39"/>
      <c r="C10" s="39"/>
      <c r="D10" s="39"/>
      <c r="E10" s="39"/>
      <c r="F10" s="39"/>
      <c r="G10" s="39"/>
      <c r="H10" s="41"/>
      <c r="I10" s="39"/>
      <c r="J10" s="39"/>
      <c r="K10" s="49" t="str">
        <f ca="1">IF(P9="No","Proceed to Step 5","")</f>
        <v>Proceed to Step 5</v>
      </c>
      <c r="L10" s="49"/>
      <c r="M10" s="49"/>
      <c r="N10" s="39"/>
      <c r="O10" s="39"/>
      <c r="P10" s="39"/>
      <c r="Q10" s="39"/>
      <c r="R10" s="89"/>
    </row>
    <row r="11" spans="1:18" ht="15.5" x14ac:dyDescent="0.35">
      <c r="A11" s="37"/>
      <c r="B11" s="50" t="s">
        <v>46</v>
      </c>
      <c r="C11" s="39"/>
      <c r="D11" s="39"/>
      <c r="E11" s="51"/>
      <c r="F11" s="39"/>
      <c r="G11" s="39"/>
      <c r="H11" s="41"/>
      <c r="I11" s="39"/>
      <c r="J11" s="45" t="s">
        <v>47</v>
      </c>
      <c r="K11" s="45"/>
      <c r="L11" s="45"/>
      <c r="M11" s="45"/>
      <c r="N11" s="45"/>
      <c r="O11" s="45"/>
      <c r="P11" s="52"/>
      <c r="Q11" s="39"/>
      <c r="R11" s="89"/>
    </row>
    <row r="12" spans="1:18" ht="13" x14ac:dyDescent="0.3">
      <c r="A12" s="37"/>
      <c r="B12" s="39"/>
      <c r="C12" s="39"/>
      <c r="D12" s="39"/>
      <c r="E12" s="51"/>
      <c r="F12" s="39"/>
      <c r="G12" s="39"/>
      <c r="H12" s="41"/>
      <c r="I12" s="39"/>
      <c r="J12" s="72" t="s">
        <v>48</v>
      </c>
      <c r="K12" s="45"/>
      <c r="L12" s="45"/>
      <c r="M12" s="45"/>
      <c r="N12" s="45"/>
      <c r="O12" s="45"/>
      <c r="P12" s="45"/>
      <c r="Q12" s="39"/>
      <c r="R12" s="89"/>
    </row>
    <row r="13" spans="1:18" ht="13" x14ac:dyDescent="0.3">
      <c r="A13" s="37"/>
      <c r="B13" s="72" t="s">
        <v>49</v>
      </c>
      <c r="C13" s="39"/>
      <c r="D13" s="39"/>
      <c r="E13" s="76">
        <f>'Flex (HAF)'!E13</f>
        <v>613.19000000000005</v>
      </c>
      <c r="F13" s="39"/>
      <c r="G13" s="39"/>
      <c r="H13" s="41"/>
      <c r="I13" s="39"/>
      <c r="J13" s="39"/>
      <c r="K13" s="39" t="s">
        <v>50</v>
      </c>
      <c r="L13" s="39"/>
      <c r="M13" s="39"/>
      <c r="N13" s="39"/>
      <c r="O13" s="39"/>
      <c r="P13" s="53">
        <f ca="1">IF(P9="NO",0,P5)</f>
        <v>0</v>
      </c>
      <c r="Q13" s="45"/>
      <c r="R13" s="89"/>
    </row>
    <row r="14" spans="1:18" ht="13" x14ac:dyDescent="0.3">
      <c r="A14" s="37"/>
      <c r="B14" s="39" t="s">
        <v>51</v>
      </c>
      <c r="C14" s="39"/>
      <c r="D14" s="39"/>
      <c r="E14" s="54">
        <f>Inputs!N19</f>
        <v>0</v>
      </c>
      <c r="F14" s="55" t="s">
        <v>52</v>
      </c>
      <c r="G14" s="39"/>
      <c r="H14" s="41"/>
      <c r="I14" s="39"/>
      <c r="J14" s="39"/>
      <c r="K14" s="39" t="s">
        <v>53</v>
      </c>
      <c r="L14" s="39"/>
      <c r="M14" s="39"/>
      <c r="N14" s="39"/>
      <c r="O14" s="39"/>
      <c r="P14" s="53">
        <f ca="1">IF(P9="NO",0,E28-P13)</f>
        <v>0</v>
      </c>
      <c r="Q14" s="45"/>
      <c r="R14" s="89"/>
    </row>
    <row r="15" spans="1:18" x14ac:dyDescent="0.25">
      <c r="A15" s="37"/>
      <c r="B15" s="39" t="s">
        <v>54</v>
      </c>
      <c r="C15" s="39"/>
      <c r="D15" s="39"/>
      <c r="E15" s="114">
        <f>Inputs!N20</f>
        <v>0</v>
      </c>
      <c r="F15" s="55" t="s">
        <v>52</v>
      </c>
      <c r="G15" s="39"/>
      <c r="H15" s="41"/>
      <c r="I15" s="39"/>
      <c r="J15" s="72" t="s">
        <v>55</v>
      </c>
      <c r="K15" s="39"/>
      <c r="L15" s="39"/>
      <c r="M15" s="39"/>
      <c r="N15" s="39"/>
      <c r="O15" s="39"/>
      <c r="P15" s="56"/>
      <c r="Q15" s="39"/>
      <c r="R15" s="89"/>
    </row>
    <row r="16" spans="1:18" x14ac:dyDescent="0.25">
      <c r="A16" s="37"/>
      <c r="B16" s="39" t="s">
        <v>56</v>
      </c>
      <c r="C16" s="39"/>
      <c r="D16" s="39"/>
      <c r="E16" s="64">
        <f>Inputs!N21</f>
        <v>0</v>
      </c>
      <c r="F16" s="55" t="s">
        <v>52</v>
      </c>
      <c r="G16" s="39"/>
      <c r="H16" s="41"/>
      <c r="I16" s="39"/>
      <c r="J16" s="39"/>
      <c r="K16" s="39" t="s">
        <v>50</v>
      </c>
      <c r="L16" s="39"/>
      <c r="M16" s="39"/>
      <c r="N16" s="39"/>
      <c r="O16" s="39"/>
      <c r="P16" s="112">
        <f ca="1">E28*0.7</f>
        <v>88183.358059999999</v>
      </c>
      <c r="Q16" s="39"/>
      <c r="R16" s="89"/>
    </row>
    <row r="17" spans="1:21" x14ac:dyDescent="0.25">
      <c r="A17" s="37"/>
      <c r="B17" s="40"/>
      <c r="C17" s="39"/>
      <c r="D17" s="39"/>
      <c r="E17" s="66"/>
      <c r="F17" s="57"/>
      <c r="G17" s="39"/>
      <c r="H17" s="41"/>
      <c r="I17" s="39"/>
      <c r="J17" s="39"/>
      <c r="K17" s="39" t="s">
        <v>53</v>
      </c>
      <c r="L17" s="39"/>
      <c r="M17" s="39"/>
      <c r="N17" s="39"/>
      <c r="O17" s="39"/>
      <c r="P17" s="53">
        <f ca="1">IF(P9="NO",0,E28*0.3)</f>
        <v>0</v>
      </c>
      <c r="Q17" s="39"/>
      <c r="R17" s="89"/>
    </row>
    <row r="18" spans="1:21" ht="13" x14ac:dyDescent="0.3">
      <c r="A18" s="37"/>
      <c r="B18" s="45" t="s">
        <v>38</v>
      </c>
      <c r="C18" s="45"/>
      <c r="D18" s="45"/>
      <c r="E18" s="65">
        <f>SUM(E13:E17)</f>
        <v>613.19000000000005</v>
      </c>
      <c r="F18" s="55"/>
      <c r="G18" s="39"/>
      <c r="H18" s="41"/>
      <c r="I18" s="39"/>
      <c r="J18" s="59" t="s">
        <v>57</v>
      </c>
      <c r="K18" s="39"/>
      <c r="L18" s="39"/>
      <c r="M18" s="39"/>
      <c r="N18" s="39"/>
      <c r="O18" s="39"/>
      <c r="P18" s="183">
        <f ca="1">IF(P14&lt;P17,P14,P17)</f>
        <v>0</v>
      </c>
      <c r="Q18" s="39"/>
      <c r="R18" s="89"/>
    </row>
    <row r="19" spans="1:21" x14ac:dyDescent="0.25">
      <c r="A19" s="37"/>
      <c r="B19" s="39"/>
      <c r="C19" s="39"/>
      <c r="D19" s="39"/>
      <c r="E19" s="51"/>
      <c r="F19" s="39"/>
      <c r="G19" s="39"/>
      <c r="H19" s="41"/>
      <c r="I19" s="39"/>
      <c r="J19" s="39"/>
      <c r="K19" s="39"/>
      <c r="L19" s="39"/>
      <c r="M19" s="39"/>
      <c r="N19" s="39"/>
      <c r="O19" s="39"/>
      <c r="P19" s="39"/>
      <c r="Q19" s="39"/>
      <c r="R19" s="89"/>
      <c r="U19" s="199"/>
    </row>
    <row r="20" spans="1:21" ht="13" x14ac:dyDescent="0.3">
      <c r="A20" s="37"/>
      <c r="B20" s="45" t="s">
        <v>58</v>
      </c>
      <c r="C20" s="39"/>
      <c r="D20" s="39"/>
      <c r="E20" s="131">
        <f ca="1">Inputs!N16-ROUNDUP(DAYS360(Inputs!N17,Inputs!N27)/30,0)</f>
        <v>396</v>
      </c>
      <c r="F20" s="40" t="s">
        <v>59</v>
      </c>
      <c r="G20" s="39"/>
      <c r="H20" s="41"/>
      <c r="I20" s="39"/>
      <c r="J20" s="73" t="s">
        <v>60</v>
      </c>
      <c r="K20" s="39"/>
      <c r="L20" s="39"/>
      <c r="M20" s="39"/>
      <c r="N20" s="39"/>
      <c r="O20" s="39"/>
      <c r="P20" s="58">
        <f ca="1">IF(P9="YES",E28-P18,E28)</f>
        <v>125976.2258</v>
      </c>
      <c r="Q20" s="39"/>
      <c r="R20" s="89"/>
    </row>
    <row r="21" spans="1:21" ht="13" x14ac:dyDescent="0.3">
      <c r="A21" s="37"/>
      <c r="B21" s="45"/>
      <c r="C21" s="39"/>
      <c r="D21" s="39"/>
      <c r="E21" s="77"/>
      <c r="F21" s="40"/>
      <c r="G21" s="39"/>
      <c r="H21" s="41"/>
      <c r="I21" s="39"/>
      <c r="J21" s="39"/>
      <c r="K21" s="39"/>
      <c r="L21" s="39"/>
      <c r="M21" s="39"/>
      <c r="N21" s="39"/>
      <c r="O21" s="39"/>
      <c r="P21" s="39"/>
      <c r="Q21" s="39"/>
      <c r="R21" s="89"/>
    </row>
    <row r="22" spans="1:21" ht="13" x14ac:dyDescent="0.25">
      <c r="A22" s="37"/>
      <c r="B22" s="39"/>
      <c r="C22" s="39"/>
      <c r="D22" s="39"/>
      <c r="E22" s="39"/>
      <c r="F22" s="39"/>
      <c r="G22" s="39"/>
      <c r="H22" s="41"/>
      <c r="I22" s="292" t="s">
        <v>61</v>
      </c>
      <c r="J22" s="293"/>
      <c r="K22" s="293"/>
      <c r="L22" s="293"/>
      <c r="M22" s="293"/>
      <c r="N22" s="293"/>
      <c r="O22" s="293"/>
      <c r="P22" s="293"/>
      <c r="Q22" s="293"/>
      <c r="R22" s="294"/>
    </row>
    <row r="23" spans="1:21" ht="13" x14ac:dyDescent="0.25">
      <c r="A23" s="292" t="s">
        <v>62</v>
      </c>
      <c r="B23" s="293"/>
      <c r="C23" s="293"/>
      <c r="D23" s="293"/>
      <c r="E23" s="293"/>
      <c r="F23" s="293"/>
      <c r="G23" s="294"/>
      <c r="H23" s="41"/>
      <c r="I23" s="39"/>
      <c r="J23" s="60"/>
      <c r="K23" s="39"/>
      <c r="L23" s="39"/>
      <c r="M23" s="39"/>
      <c r="N23" s="39"/>
      <c r="O23" s="39"/>
      <c r="P23" s="39"/>
      <c r="Q23" s="39"/>
      <c r="R23" s="89"/>
    </row>
    <row r="24" spans="1:21" ht="13" x14ac:dyDescent="0.3">
      <c r="A24" s="37"/>
      <c r="B24" s="49"/>
      <c r="C24" s="39"/>
      <c r="D24" s="39"/>
      <c r="E24" s="51"/>
      <c r="F24" s="39"/>
      <c r="G24" s="39"/>
      <c r="H24" s="41"/>
      <c r="J24" s="151" t="s">
        <v>108</v>
      </c>
      <c r="K24" s="149"/>
      <c r="L24" s="149"/>
      <c r="M24" s="149"/>
      <c r="N24" s="149"/>
      <c r="O24" s="149"/>
      <c r="P24" s="149"/>
      <c r="Q24" s="149"/>
      <c r="R24" s="150"/>
    </row>
    <row r="25" spans="1:21" x14ac:dyDescent="0.25">
      <c r="A25" s="37"/>
      <c r="B25" s="72" t="s">
        <v>63</v>
      </c>
      <c r="C25" s="39"/>
      <c r="D25" s="39"/>
      <c r="E25" s="54">
        <f>Inputs!N29</f>
        <v>112920.66</v>
      </c>
      <c r="F25" s="72" t="s">
        <v>52</v>
      </c>
      <c r="G25" s="39"/>
      <c r="H25" s="41"/>
      <c r="I25" s="39"/>
      <c r="J25" s="72" t="s">
        <v>64</v>
      </c>
      <c r="K25" s="39"/>
      <c r="L25" s="39"/>
      <c r="M25" s="39"/>
      <c r="N25" s="39"/>
      <c r="O25" s="39"/>
      <c r="P25" s="204">
        <f>-PV(E36/12,E42,E13*0.8)</f>
        <v>134314.73556398455</v>
      </c>
      <c r="Q25" s="39"/>
      <c r="R25" s="89"/>
    </row>
    <row r="26" spans="1:21" x14ac:dyDescent="0.25">
      <c r="A26" s="37"/>
      <c r="B26" s="72" t="str">
        <f>IF(Inputs!N18&gt;0,"Arrears and Forbearance","Total Eligible Arrears")</f>
        <v>Total Eligible Arrears</v>
      </c>
      <c r="C26" s="39"/>
      <c r="D26" s="39"/>
      <c r="E26" s="54">
        <f ca="1">Inputs!$N$36</f>
        <v>13055.5658</v>
      </c>
      <c r="F26" s="71" t="s">
        <v>126</v>
      </c>
      <c r="G26" s="39"/>
      <c r="H26" s="41"/>
      <c r="J26" s="136" t="s">
        <v>66</v>
      </c>
      <c r="P26" s="144">
        <f ca="1">IF(P25&gt;P20,0,P20-P25)</f>
        <v>0</v>
      </c>
      <c r="Q26" s="39"/>
      <c r="R26" s="89"/>
    </row>
    <row r="27" spans="1:21" x14ac:dyDescent="0.25">
      <c r="A27" s="37"/>
      <c r="B27" s="72" t="s">
        <v>120</v>
      </c>
      <c r="C27" s="39"/>
      <c r="D27" s="39"/>
      <c r="E27" s="54">
        <f>HAF</f>
        <v>0</v>
      </c>
      <c r="F27" s="71"/>
      <c r="G27" s="39"/>
      <c r="H27" s="41"/>
      <c r="I27" s="39"/>
      <c r="Q27" s="47"/>
      <c r="R27" s="89"/>
    </row>
    <row r="28" spans="1:21" ht="13" x14ac:dyDescent="0.3">
      <c r="A28" s="37"/>
      <c r="B28" s="45" t="s">
        <v>65</v>
      </c>
      <c r="C28" s="45"/>
      <c r="D28" s="45"/>
      <c r="E28" s="58">
        <f ca="1">SUM(E25:E26)-E27</f>
        <v>125976.2258</v>
      </c>
      <c r="F28" s="55"/>
      <c r="G28" s="39"/>
      <c r="H28" s="41"/>
      <c r="I28" s="39"/>
      <c r="J28" s="45" t="s">
        <v>67</v>
      </c>
      <c r="K28" s="39"/>
      <c r="L28" s="125"/>
      <c r="M28" s="126"/>
      <c r="N28" s="125"/>
      <c r="O28" s="124"/>
      <c r="P28" s="77"/>
      <c r="Q28" s="39"/>
      <c r="R28" s="89"/>
    </row>
    <row r="29" spans="1:21" x14ac:dyDescent="0.25">
      <c r="A29" s="37"/>
      <c r="B29" s="39"/>
      <c r="C29" s="39"/>
      <c r="D29" s="39"/>
      <c r="E29" s="51"/>
      <c r="F29" s="39"/>
      <c r="G29" s="39"/>
      <c r="H29" s="41"/>
      <c r="I29" s="39"/>
      <c r="J29" s="72"/>
      <c r="K29" s="72" t="s">
        <v>69</v>
      </c>
      <c r="L29" s="39"/>
      <c r="M29" s="39"/>
      <c r="N29" s="39"/>
      <c r="O29" s="39"/>
      <c r="P29" s="112">
        <f ca="1">IF(P20-P5*0.8&lt;0,0,P6-P5*0.8)</f>
        <v>0</v>
      </c>
      <c r="Q29" s="39"/>
      <c r="R29" s="89"/>
    </row>
    <row r="30" spans="1:21" ht="12.75" customHeight="1" x14ac:dyDescent="0.25">
      <c r="A30" s="37"/>
      <c r="B30" s="39"/>
      <c r="C30" s="39"/>
      <c r="D30" s="39"/>
      <c r="E30" s="51"/>
      <c r="F30" s="39"/>
      <c r="G30" s="39"/>
      <c r="H30" s="41"/>
      <c r="I30" s="39"/>
      <c r="J30" s="39"/>
      <c r="K30" s="72" t="s">
        <v>70</v>
      </c>
      <c r="L30" s="39"/>
      <c r="M30" s="39"/>
      <c r="N30" s="39"/>
      <c r="O30" s="39"/>
      <c r="P30" s="144">
        <f ca="1">P6*0.3</f>
        <v>37792.867740000002</v>
      </c>
      <c r="Q30" s="39"/>
      <c r="R30" s="89"/>
      <c r="T30" s="198"/>
    </row>
    <row r="31" spans="1:21" ht="13" x14ac:dyDescent="0.25">
      <c r="A31" s="292" t="s">
        <v>68</v>
      </c>
      <c r="B31" s="293"/>
      <c r="C31" s="293"/>
      <c r="D31" s="293"/>
      <c r="E31" s="293"/>
      <c r="F31" s="293"/>
      <c r="G31" s="294"/>
      <c r="H31" s="41"/>
      <c r="I31" s="39"/>
      <c r="J31" s="72" t="s">
        <v>71</v>
      </c>
      <c r="K31" s="72"/>
      <c r="L31" s="72"/>
      <c r="M31" s="72"/>
      <c r="N31" s="39"/>
      <c r="O31" s="39"/>
      <c r="P31" s="144">
        <f ca="1">MIN(P26,P29-P18,P30-P18)</f>
        <v>0</v>
      </c>
      <c r="Q31" s="39"/>
      <c r="R31" s="89"/>
    </row>
    <row r="32" spans="1:21" x14ac:dyDescent="0.25">
      <c r="A32" s="37"/>
      <c r="B32" s="39"/>
      <c r="C32" s="39"/>
      <c r="D32" s="39"/>
      <c r="E32" s="51"/>
      <c r="F32" s="39"/>
      <c r="G32" s="39"/>
      <c r="H32" s="205"/>
      <c r="I32" s="39"/>
      <c r="Q32" s="86"/>
      <c r="R32" s="89"/>
    </row>
    <row r="33" spans="1:22" ht="13" x14ac:dyDescent="0.3">
      <c r="A33" s="37"/>
      <c r="B33" s="13" t="s">
        <v>107</v>
      </c>
      <c r="C33" s="1"/>
      <c r="D33" s="1"/>
      <c r="E33" s="1"/>
      <c r="F33" s="45"/>
      <c r="G33" s="72"/>
      <c r="H33" s="205"/>
      <c r="I33" s="290" t="str">
        <f ca="1">IF(-PMT(E36/12,E42,P20-P31)&gt;E13,"P&amp;I Reduction Not Possible; Borrower Ineligible","MODIFICATION RESULTS")</f>
        <v>MODIFICATION RESULTS</v>
      </c>
      <c r="J33" s="290"/>
      <c r="K33" s="290"/>
      <c r="L33" s="290"/>
      <c r="M33" s="290"/>
      <c r="N33" s="290"/>
      <c r="O33" s="290"/>
      <c r="P33" s="291"/>
      <c r="Q33" s="290"/>
      <c r="R33" s="290"/>
      <c r="V33" s="198"/>
    </row>
    <row r="34" spans="1:22" ht="13.5" x14ac:dyDescent="0.3">
      <c r="A34" s="37"/>
      <c r="B34" s="90" t="str">
        <f>IF(Owner=1,"Fannie Mae Mod Rate",IF(Owner=2,"Freddie Mac Mod Rate",0))</f>
        <v>Fannie Mae Mod Rate</v>
      </c>
      <c r="C34" s="206"/>
      <c r="D34" s="1"/>
      <c r="E34" s="133">
        <f>Inputs!N6</f>
        <v>3.125E-2</v>
      </c>
      <c r="F34" s="45"/>
      <c r="G34" s="72"/>
      <c r="H34" s="205"/>
      <c r="I34" s="146"/>
      <c r="J34" s="146"/>
      <c r="K34" s="146"/>
      <c r="L34" s="146"/>
      <c r="M34" s="146"/>
      <c r="N34" s="146"/>
      <c r="O34" s="146"/>
      <c r="P34" s="148"/>
      <c r="Q34" s="146"/>
      <c r="R34" s="147"/>
    </row>
    <row r="35" spans="1:22" ht="13" x14ac:dyDescent="0.3">
      <c r="A35" s="37"/>
      <c r="B35" s="69" t="str">
        <f>IF(RateType="Fixed Rate","Current Rate",Inputs!K14)</f>
        <v>Current Rate</v>
      </c>
      <c r="C35" s="2"/>
      <c r="D35" s="2"/>
      <c r="E35" s="135">
        <f>IF(RateType="Fixed Rate",Inputs!N11,Inputs!N14)</f>
        <v>3.875E-2</v>
      </c>
      <c r="F35" s="45"/>
      <c r="G35" s="72"/>
      <c r="H35" s="205"/>
      <c r="I35" s="39"/>
      <c r="J35" s="72" t="s">
        <v>73</v>
      </c>
      <c r="K35" s="39"/>
      <c r="L35" s="39"/>
      <c r="M35" s="39"/>
      <c r="N35" s="39"/>
      <c r="O35" s="39"/>
      <c r="P35" s="209">
        <f ca="1">-PMT(TierTwo/12,480,P37-P38)</f>
        <v>460.0976151957874</v>
      </c>
      <c r="Q35" s="40"/>
      <c r="R35" s="89"/>
    </row>
    <row r="36" spans="1:22" ht="13" x14ac:dyDescent="0.3">
      <c r="A36" s="37"/>
      <c r="B36" s="45" t="s">
        <v>72</v>
      </c>
      <c r="C36" s="49"/>
      <c r="D36" s="39"/>
      <c r="E36" s="135">
        <f>IF(E34&gt;=E35,E35,E34)</f>
        <v>3.125E-2</v>
      </c>
      <c r="F36" s="45"/>
      <c r="G36" s="72"/>
      <c r="H36" s="205"/>
      <c r="I36" s="39"/>
      <c r="J36" s="72" t="s">
        <v>74</v>
      </c>
      <c r="K36" s="39"/>
      <c r="L36" s="39"/>
      <c r="M36" s="39"/>
      <c r="N36" s="39"/>
      <c r="O36" s="39"/>
      <c r="P36" s="208">
        <f ca="1">PIREDUCTION+SUM(E14:E16)</f>
        <v>460.0976151957874</v>
      </c>
      <c r="Q36" s="40"/>
      <c r="R36" s="89"/>
    </row>
    <row r="37" spans="1:22" ht="13" x14ac:dyDescent="0.3">
      <c r="A37" s="37"/>
      <c r="B37" s="39"/>
      <c r="C37" s="39"/>
      <c r="D37" s="39"/>
      <c r="E37" s="39"/>
      <c r="F37" s="45"/>
      <c r="G37" s="39"/>
      <c r="H37" s="41"/>
      <c r="I37" s="39"/>
      <c r="J37" s="137" t="s">
        <v>75</v>
      </c>
      <c r="K37" s="39"/>
      <c r="L37" s="39"/>
      <c r="M37" s="39"/>
      <c r="N37" s="39"/>
      <c r="O37" s="39"/>
      <c r="P37" s="208">
        <f ca="1">UPB</f>
        <v>125976.2258</v>
      </c>
      <c r="Q37" s="40"/>
      <c r="R37" s="89"/>
    </row>
    <row r="38" spans="1:22" ht="13" x14ac:dyDescent="0.3">
      <c r="A38" s="37"/>
      <c r="B38" s="45"/>
      <c r="C38" s="45"/>
      <c r="D38" s="45"/>
      <c r="E38" s="61"/>
      <c r="F38" s="45"/>
      <c r="G38" s="39"/>
      <c r="H38" s="41"/>
      <c r="I38" s="39"/>
      <c r="J38" s="137" t="s">
        <v>77</v>
      </c>
      <c r="K38" s="39"/>
      <c r="L38" s="39"/>
      <c r="M38" s="39"/>
      <c r="N38" s="39"/>
      <c r="O38" s="39"/>
      <c r="P38" s="208">
        <f ca="1">P37-(P20-P31)</f>
        <v>0</v>
      </c>
      <c r="Q38" s="87"/>
      <c r="R38" s="89"/>
    </row>
    <row r="39" spans="1:22" ht="13" x14ac:dyDescent="0.3">
      <c r="A39" s="37"/>
      <c r="B39" s="45"/>
      <c r="C39" s="39"/>
      <c r="D39" s="39"/>
      <c r="E39" s="39"/>
      <c r="F39" s="39"/>
      <c r="G39" s="39"/>
      <c r="H39" s="41"/>
      <c r="I39" s="39"/>
      <c r="J39" s="72" t="s">
        <v>78</v>
      </c>
      <c r="K39" s="39"/>
      <c r="L39" s="39"/>
      <c r="M39" s="39"/>
      <c r="N39" s="39"/>
      <c r="O39" s="39"/>
      <c r="P39" s="142">
        <f>E36</f>
        <v>3.125E-2</v>
      </c>
      <c r="Q39" s="40"/>
      <c r="R39" s="89"/>
    </row>
    <row r="40" spans="1:22" ht="12.75" customHeight="1" x14ac:dyDescent="0.25">
      <c r="A40" s="292" t="s">
        <v>76</v>
      </c>
      <c r="B40" s="293"/>
      <c r="C40" s="293"/>
      <c r="D40" s="293"/>
      <c r="E40" s="293"/>
      <c r="F40" s="293"/>
      <c r="G40" s="294"/>
      <c r="H40" s="41"/>
      <c r="I40" s="39"/>
      <c r="J40" s="72" t="s">
        <v>81</v>
      </c>
      <c r="K40" s="39"/>
      <c r="L40" s="39"/>
      <c r="M40" s="39"/>
      <c r="N40" s="39"/>
      <c r="O40" s="39"/>
      <c r="P40" s="143">
        <v>480</v>
      </c>
      <c r="Q40" s="39"/>
      <c r="R40" s="89"/>
    </row>
    <row r="41" spans="1:22" ht="15.5" x14ac:dyDescent="0.35">
      <c r="A41" s="37"/>
      <c r="B41" s="39"/>
      <c r="C41" s="39"/>
      <c r="D41" s="39"/>
      <c r="E41" s="62"/>
      <c r="F41" s="39"/>
      <c r="G41" s="39"/>
      <c r="H41" s="41"/>
      <c r="I41" s="39"/>
      <c r="J41" s="72"/>
      <c r="K41" s="39"/>
      <c r="L41" s="39"/>
      <c r="M41" s="39"/>
      <c r="N41" s="39"/>
      <c r="O41" s="39"/>
      <c r="P41" s="207"/>
      <c r="Q41" s="39"/>
      <c r="R41" s="89"/>
    </row>
    <row r="42" spans="1:22" ht="13" x14ac:dyDescent="0.3">
      <c r="A42" s="37"/>
      <c r="B42" s="45" t="s">
        <v>79</v>
      </c>
      <c r="C42" s="39"/>
      <c r="D42" s="39"/>
      <c r="E42" s="113">
        <v>480</v>
      </c>
      <c r="F42" s="72" t="s">
        <v>80</v>
      </c>
      <c r="G42" s="39"/>
      <c r="H42" s="41"/>
      <c r="I42" s="39"/>
      <c r="J42" s="49"/>
      <c r="K42" s="39"/>
      <c r="L42" s="39"/>
      <c r="M42" s="39"/>
      <c r="N42" s="39"/>
      <c r="O42" s="39"/>
      <c r="P42" s="39"/>
      <c r="Q42" s="39"/>
      <c r="R42" s="89"/>
    </row>
    <row r="43" spans="1:22" x14ac:dyDescent="0.25">
      <c r="A43" s="115"/>
      <c r="B43" s="63"/>
      <c r="C43" s="63"/>
      <c r="D43" s="63"/>
      <c r="E43" s="63"/>
      <c r="F43" s="63"/>
      <c r="G43" s="63"/>
      <c r="H43" s="41"/>
      <c r="I43" s="63"/>
      <c r="J43" s="63"/>
      <c r="K43" s="63"/>
      <c r="L43" s="63"/>
      <c r="M43" s="63"/>
      <c r="N43" s="63"/>
      <c r="O43" s="63"/>
      <c r="P43" s="63"/>
      <c r="Q43" s="88" t="s">
        <v>82</v>
      </c>
      <c r="R43" s="91"/>
    </row>
  </sheetData>
  <mergeCells count="8">
    <mergeCell ref="I33:R33"/>
    <mergeCell ref="A40:G40"/>
    <mergeCell ref="A1:R1"/>
    <mergeCell ref="I3:R3"/>
    <mergeCell ref="C4:F4"/>
    <mergeCell ref="I22:R22"/>
    <mergeCell ref="A23:G23"/>
    <mergeCell ref="A31:G31"/>
  </mergeCells>
  <conditionalFormatting sqref="J11:P18">
    <cfRule type="expression" dxfId="20" priority="2">
      <formula>IF($P$9="NO",1,0)</formula>
    </cfRule>
  </conditionalFormatting>
  <conditionalFormatting sqref="J35:P41">
    <cfRule type="expression" dxfId="19" priority="3">
      <formula>IF(-PMT($E$36/12,$E$42,$P$20-$P$31)&gt;$E$13,1,0)</formula>
    </cfRule>
  </conditionalFormatting>
  <pageMargins left="0.75" right="0.75" top="1" bottom="1" header="0.5" footer="0.5"/>
  <pageSetup scale="82" orientation="landscape" r:id="rId1"/>
  <headerFooter alignWithMargins="0">
    <oddHeader>&amp;L&amp;14&amp;F&amp;10
Run on: &amp;D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6E9D8093-0188-42E1-BC52-A42C85E0DAB1}">
            <xm:f>IF(Inputs!$N$26&gt;=DATE(2020,1,1),0,1)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H44:R44 A2:R43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99317-8717-459B-BA7C-A83542119B33}">
  <sheetPr>
    <tabColor rgb="FFCC99FF"/>
  </sheetPr>
  <dimension ref="A1:L34"/>
  <sheetViews>
    <sheetView showGridLines="0" zoomScaleNormal="100" workbookViewId="0">
      <selection activeCell="C5" sqref="C5"/>
    </sheetView>
  </sheetViews>
  <sheetFormatPr defaultRowHeight="12.5" x14ac:dyDescent="0.25"/>
  <cols>
    <col min="1" max="1" width="3.90625" customWidth="1"/>
    <col min="2" max="2" width="30.453125" customWidth="1"/>
    <col min="3" max="3" width="13.81640625" customWidth="1"/>
    <col min="4" max="4" width="8" style="212" customWidth="1"/>
    <col min="5" max="5" width="20" customWidth="1"/>
    <col min="6" max="6" width="14.90625" customWidth="1"/>
    <col min="7" max="7" width="3.26953125" customWidth="1"/>
    <col min="8" max="8" width="14.26953125" customWidth="1"/>
    <col min="9" max="9" width="8.7265625" customWidth="1"/>
    <col min="10" max="10" width="24.36328125" customWidth="1"/>
    <col min="11" max="11" width="13.453125" customWidth="1"/>
    <col min="12" max="12" width="8.7265625" customWidth="1"/>
    <col min="13" max="13" width="12.1796875" bestFit="1" customWidth="1"/>
  </cols>
  <sheetData>
    <row r="1" spans="1:12" x14ac:dyDescent="0.25">
      <c r="A1" s="5"/>
      <c r="B1" s="6"/>
      <c r="C1" s="6"/>
      <c r="D1" s="224"/>
      <c r="E1" s="6"/>
      <c r="F1" s="6"/>
      <c r="G1" s="225"/>
    </row>
    <row r="2" spans="1:12" ht="12.5" customHeight="1" x14ac:dyDescent="0.3">
      <c r="A2" s="300" t="s">
        <v>131</v>
      </c>
      <c r="B2" s="281"/>
      <c r="C2" s="281"/>
      <c r="D2" s="281"/>
      <c r="E2" s="281"/>
      <c r="F2" s="281"/>
      <c r="G2" s="226"/>
      <c r="H2" s="217"/>
      <c r="J2" s="200"/>
      <c r="K2" s="200"/>
      <c r="L2" s="200"/>
    </row>
    <row r="3" spans="1:12" ht="13" x14ac:dyDescent="0.3">
      <c r="A3" s="7"/>
      <c r="B3" s="1"/>
      <c r="C3" s="1"/>
      <c r="D3" s="227"/>
      <c r="E3" s="1"/>
      <c r="F3" s="228"/>
      <c r="G3" s="226"/>
      <c r="H3" s="217"/>
      <c r="I3" s="67"/>
      <c r="J3" s="200"/>
      <c r="K3" s="200"/>
      <c r="L3" s="200"/>
    </row>
    <row r="4" spans="1:12" x14ac:dyDescent="0.25">
      <c r="A4" s="7"/>
      <c r="B4" s="69" t="s">
        <v>109</v>
      </c>
      <c r="C4" s="214" t="str">
        <f ca="1">IF(Flex!PIREDUCTION&lt;=Flex!E13,"Yes","No")</f>
        <v>Yes</v>
      </c>
      <c r="D4" s="229"/>
      <c r="E4" s="72" t="s">
        <v>73</v>
      </c>
      <c r="F4" s="139">
        <f ca="1">Flex!P36</f>
        <v>516.75203995131335</v>
      </c>
      <c r="G4" s="230"/>
      <c r="H4" s="39"/>
      <c r="I4" s="39"/>
      <c r="L4" s="210"/>
    </row>
    <row r="5" spans="1:12" x14ac:dyDescent="0.25">
      <c r="A5" s="7"/>
      <c r="B5" s="1" t="s">
        <v>122</v>
      </c>
      <c r="C5" s="216" t="str">
        <f ca="1">IF(C4="No",Calculations!M8,"N/A")</f>
        <v>N/A</v>
      </c>
      <c r="D5" s="231"/>
      <c r="E5" s="72" t="s">
        <v>74</v>
      </c>
      <c r="F5" s="139">
        <f ca="1">Flex!P37</f>
        <v>516.75203995131335</v>
      </c>
      <c r="G5" s="230"/>
      <c r="H5" s="39"/>
      <c r="I5" s="39"/>
      <c r="L5" s="211"/>
    </row>
    <row r="6" spans="1:12" x14ac:dyDescent="0.25">
      <c r="A6" s="7"/>
      <c r="B6" s="1" t="s">
        <v>124</v>
      </c>
      <c r="C6" s="216" t="str">
        <f ca="1">IF(AND(C4="Yes",Flex!P37&lt;=0.35*GMI),"N/A",ROUNDUP(MAX(Calculations!M8,Calculations!P8),2))</f>
        <v>N/A</v>
      </c>
      <c r="D6" s="231"/>
      <c r="E6" s="137" t="s">
        <v>75</v>
      </c>
      <c r="F6" s="139">
        <f ca="1">Flex!P38</f>
        <v>125976.2258</v>
      </c>
      <c r="G6" s="230"/>
      <c r="H6" s="39"/>
      <c r="I6" s="39"/>
    </row>
    <row r="7" spans="1:12" x14ac:dyDescent="0.25">
      <c r="A7" s="7"/>
      <c r="B7" s="1"/>
      <c r="C7" s="1"/>
      <c r="D7" s="231"/>
      <c r="E7" s="137" t="s">
        <v>77</v>
      </c>
      <c r="F7" s="139">
        <f ca="1">Flex!P39</f>
        <v>0</v>
      </c>
      <c r="G7" s="230"/>
      <c r="H7" s="39"/>
      <c r="I7" s="39"/>
      <c r="K7" s="211"/>
    </row>
    <row r="8" spans="1:12" x14ac:dyDescent="0.25">
      <c r="A8" s="7"/>
      <c r="B8" s="1"/>
      <c r="C8" s="1"/>
      <c r="D8" s="231"/>
      <c r="E8" s="72" t="s">
        <v>78</v>
      </c>
      <c r="F8" s="218">
        <f ca="1">Flex!P40</f>
        <v>3.875E-2</v>
      </c>
      <c r="G8" s="230"/>
      <c r="H8" s="39"/>
      <c r="I8" s="39"/>
      <c r="K8" s="211"/>
    </row>
    <row r="9" spans="1:12" x14ac:dyDescent="0.25">
      <c r="A9" s="7"/>
      <c r="B9" s="1"/>
      <c r="C9" s="1"/>
      <c r="D9" s="231"/>
      <c r="E9" s="72" t="s">
        <v>81</v>
      </c>
      <c r="F9" s="139">
        <f>Flex!P41</f>
        <v>480</v>
      </c>
      <c r="G9" s="230"/>
      <c r="H9" s="39"/>
      <c r="I9" s="39"/>
    </row>
    <row r="10" spans="1:12" x14ac:dyDescent="0.25">
      <c r="A10" s="7"/>
      <c r="B10" s="1"/>
      <c r="C10" s="1"/>
      <c r="D10" s="231"/>
      <c r="E10" s="137" t="s">
        <v>128</v>
      </c>
      <c r="F10" s="222">
        <f ca="1">F5/GMI</f>
        <v>0.31800125535465434</v>
      </c>
      <c r="G10" s="232"/>
    </row>
    <row r="11" spans="1:12" x14ac:dyDescent="0.25">
      <c r="A11" s="7"/>
      <c r="B11" s="1"/>
      <c r="C11" s="1"/>
      <c r="D11" s="231"/>
      <c r="E11" s="137"/>
      <c r="F11" s="236"/>
      <c r="G11" s="232"/>
    </row>
    <row r="12" spans="1:12" x14ac:dyDescent="0.25">
      <c r="A12" s="5"/>
      <c r="B12" s="6"/>
      <c r="C12" s="6"/>
      <c r="D12" s="224"/>
      <c r="E12" s="237"/>
      <c r="F12" s="238"/>
      <c r="G12" s="225"/>
    </row>
    <row r="13" spans="1:12" ht="12.5" customHeight="1" x14ac:dyDescent="0.3">
      <c r="A13" s="300" t="s">
        <v>132</v>
      </c>
      <c r="B13" s="281"/>
      <c r="C13" s="281"/>
      <c r="D13" s="281"/>
      <c r="E13" s="281"/>
      <c r="F13" s="281"/>
      <c r="G13" s="232"/>
    </row>
    <row r="14" spans="1:12" ht="13" x14ac:dyDescent="0.3">
      <c r="A14" s="7"/>
      <c r="B14" s="1"/>
      <c r="C14" s="1"/>
      <c r="D14" s="227"/>
      <c r="E14" s="1"/>
      <c r="F14" s="1"/>
      <c r="G14" s="232"/>
    </row>
    <row r="15" spans="1:12" x14ac:dyDescent="0.25">
      <c r="A15" s="7"/>
      <c r="B15" s="69" t="s">
        <v>110</v>
      </c>
      <c r="C15" s="214" t="str">
        <f ca="1">IF(AND(Inputs!N26&gt;=DATE(2020,1,1),'COVID Flex'!E13&gt;=PIREDUCTION),"Yes","No")</f>
        <v>Yes</v>
      </c>
      <c r="D15" s="231"/>
      <c r="E15" s="72" t="s">
        <v>73</v>
      </c>
      <c r="F15" s="220">
        <f ca="1">'COVID Flex'!P35</f>
        <v>460.0976151957874</v>
      </c>
      <c r="G15" s="232"/>
    </row>
    <row r="16" spans="1:12" x14ac:dyDescent="0.25">
      <c r="A16" s="7"/>
      <c r="B16" s="1" t="s">
        <v>123</v>
      </c>
      <c r="C16" s="214" t="str">
        <f ca="1">IF(OR(C15="Yes",DATE(2020,1,1)&gt;Inputs!N26),"N/A",Calculations!M16)</f>
        <v>N/A</v>
      </c>
      <c r="D16" s="231"/>
      <c r="E16" s="72" t="s">
        <v>74</v>
      </c>
      <c r="F16" s="220">
        <f ca="1">'COVID Flex'!P36</f>
        <v>460.0976151957874</v>
      </c>
      <c r="G16" s="232"/>
    </row>
    <row r="17" spans="1:7" x14ac:dyDescent="0.25">
      <c r="A17" s="7"/>
      <c r="B17" s="69" t="s">
        <v>125</v>
      </c>
      <c r="C17" s="215" t="str">
        <f ca="1">IF(OR(AND('COVID Flex'!P36&lt;=(0.35*GMI),C15="Yes"),DATE(2020,1,1)&gt;Inputs!N26),"N/A",ROUNDUP(MAX(Calculations!M16,Calculations!P16),2))</f>
        <v>N/A</v>
      </c>
      <c r="D17" s="231"/>
      <c r="E17" s="137" t="s">
        <v>75</v>
      </c>
      <c r="F17" s="220">
        <f ca="1">'COVID Flex'!P37</f>
        <v>125976.2258</v>
      </c>
      <c r="G17" s="232"/>
    </row>
    <row r="18" spans="1:7" x14ac:dyDescent="0.25">
      <c r="A18" s="7"/>
      <c r="B18" s="1"/>
      <c r="C18" s="1"/>
      <c r="D18" s="231"/>
      <c r="E18" s="137" t="s">
        <v>77</v>
      </c>
      <c r="F18" s="220">
        <f ca="1">'COVID Flex'!P38</f>
        <v>0</v>
      </c>
      <c r="G18" s="232"/>
    </row>
    <row r="19" spans="1:7" x14ac:dyDescent="0.25">
      <c r="A19" s="7"/>
      <c r="B19" s="1"/>
      <c r="C19" s="1"/>
      <c r="D19" s="231"/>
      <c r="E19" s="72" t="s">
        <v>78</v>
      </c>
      <c r="F19" s="221">
        <f>'COVID Flex'!P39</f>
        <v>3.125E-2</v>
      </c>
      <c r="G19" s="232"/>
    </row>
    <row r="20" spans="1:7" x14ac:dyDescent="0.25">
      <c r="A20" s="7"/>
      <c r="B20" s="1"/>
      <c r="C20" s="1"/>
      <c r="D20" s="231"/>
      <c r="E20" s="72" t="s">
        <v>81</v>
      </c>
      <c r="F20" s="220">
        <f>'COVID Flex'!P40</f>
        <v>480</v>
      </c>
      <c r="G20" s="232"/>
    </row>
    <row r="21" spans="1:7" x14ac:dyDescent="0.25">
      <c r="A21" s="7"/>
      <c r="B21" s="1"/>
      <c r="C21" s="1"/>
      <c r="D21" s="231"/>
      <c r="E21" s="137" t="s">
        <v>128</v>
      </c>
      <c r="F21" s="222">
        <f ca="1">F16/GMI</f>
        <v>0.28313699396663838</v>
      </c>
      <c r="G21" s="232"/>
    </row>
    <row r="22" spans="1:7" x14ac:dyDescent="0.25">
      <c r="A22" s="233"/>
      <c r="B22" s="12"/>
      <c r="C22" s="12"/>
      <c r="D22" s="234"/>
      <c r="E22" s="12"/>
      <c r="F22" s="12"/>
      <c r="G22" s="235"/>
    </row>
    <row r="23" spans="1:7" ht="12.5" customHeight="1" x14ac:dyDescent="0.25">
      <c r="A23" s="7"/>
      <c r="B23" s="1"/>
      <c r="C23" s="1"/>
      <c r="D23" s="231"/>
      <c r="E23" s="1"/>
      <c r="F23" s="1"/>
      <c r="G23" s="232"/>
    </row>
    <row r="24" spans="1:7" ht="13" x14ac:dyDescent="0.3">
      <c r="A24" s="7"/>
      <c r="B24" s="281" t="s">
        <v>118</v>
      </c>
      <c r="C24" s="281"/>
      <c r="D24" s="281"/>
      <c r="E24" s="281"/>
      <c r="F24" s="281"/>
      <c r="G24" s="232"/>
    </row>
    <row r="25" spans="1:7" ht="13.5" thickBot="1" x14ac:dyDescent="0.35">
      <c r="A25" s="7"/>
      <c r="B25" s="1"/>
      <c r="C25" s="1"/>
      <c r="D25" s="227"/>
      <c r="E25" s="1"/>
      <c r="F25" s="1"/>
      <c r="G25" s="232"/>
    </row>
    <row r="26" spans="1:7" ht="13" thickBot="1" x14ac:dyDescent="0.3">
      <c r="A26" s="7"/>
      <c r="B26" s="69" t="s">
        <v>127</v>
      </c>
      <c r="C26" s="219" t="str">
        <f ca="1">IF(OR(Calculations!L19:L20),"N/A",MIN(C6,C17))</f>
        <v>N/A</v>
      </c>
      <c r="D26" s="231"/>
      <c r="E26" s="1"/>
      <c r="F26" s="1"/>
      <c r="G26" s="232"/>
    </row>
    <row r="27" spans="1:7" ht="13" thickBot="1" x14ac:dyDescent="0.3">
      <c r="A27" s="7"/>
      <c r="B27" s="69"/>
      <c r="C27" s="223"/>
      <c r="D27" s="231"/>
      <c r="E27" s="1"/>
      <c r="F27" s="1"/>
      <c r="G27" s="232"/>
    </row>
    <row r="28" spans="1:7" ht="13" thickBot="1" x14ac:dyDescent="0.3">
      <c r="A28" s="7"/>
      <c r="B28" s="69" t="s">
        <v>118</v>
      </c>
      <c r="C28" s="213"/>
      <c r="D28" s="231"/>
      <c r="E28" s="1"/>
      <c r="F28" s="1"/>
      <c r="G28" s="232"/>
    </row>
    <row r="29" spans="1:7" x14ac:dyDescent="0.25">
      <c r="A29" s="233"/>
      <c r="B29" s="12"/>
      <c r="C29" s="12"/>
      <c r="D29" s="234"/>
      <c r="E29" s="12"/>
      <c r="F29" s="12"/>
      <c r="G29" s="235"/>
    </row>
    <row r="34" spans="5:5" x14ac:dyDescent="0.25">
      <c r="E34" s="3"/>
    </row>
  </sheetData>
  <mergeCells count="3">
    <mergeCell ref="A2:F2"/>
    <mergeCell ref="A13:F13"/>
    <mergeCell ref="B24:F24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EEC5E-39E6-4A06-96B9-49CE4DD2D6F5}">
  <sheetPr>
    <tabColor rgb="FFCC99FF"/>
  </sheetPr>
  <dimension ref="A2:L38"/>
  <sheetViews>
    <sheetView showGridLines="0" zoomScaleNormal="100" workbookViewId="0">
      <selection activeCell="E14" sqref="E14"/>
    </sheetView>
  </sheetViews>
  <sheetFormatPr defaultRowHeight="12.5" x14ac:dyDescent="0.25"/>
  <cols>
    <col min="1" max="1" width="2.36328125" customWidth="1"/>
    <col min="2" max="2" width="6.6328125" customWidth="1"/>
    <col min="3" max="3" width="7.6328125" customWidth="1"/>
    <col min="4" max="4" width="11.1796875" customWidth="1"/>
    <col min="5" max="5" width="14.08984375" bestFit="1" customWidth="1"/>
    <col min="6" max="6" width="2.6328125" customWidth="1"/>
    <col min="7" max="7" width="2.90625" customWidth="1"/>
    <col min="8" max="8" width="7.08984375" customWidth="1"/>
    <col min="9" max="9" width="6.54296875" customWidth="1"/>
    <col min="10" max="10" width="11" customWidth="1"/>
    <col min="11" max="11" width="13.7265625" customWidth="1"/>
    <col min="12" max="12" width="6" customWidth="1"/>
  </cols>
  <sheetData>
    <row r="2" spans="1:12" ht="15.5" x14ac:dyDescent="0.35">
      <c r="A2" s="302" t="s">
        <v>151</v>
      </c>
      <c r="B2" s="303"/>
      <c r="C2" s="303"/>
      <c r="D2" s="303"/>
      <c r="E2" s="303"/>
      <c r="F2" s="303"/>
      <c r="G2" s="258"/>
      <c r="H2" s="303" t="s">
        <v>152</v>
      </c>
      <c r="I2" s="303"/>
      <c r="J2" s="303"/>
      <c r="K2" s="303"/>
      <c r="L2" s="306"/>
    </row>
    <row r="3" spans="1:12" x14ac:dyDescent="0.25">
      <c r="A3" s="5"/>
      <c r="B3" s="6"/>
      <c r="C3" s="6"/>
      <c r="D3" s="6"/>
      <c r="E3" s="6"/>
      <c r="F3" s="225"/>
      <c r="G3" s="1"/>
      <c r="H3" s="1"/>
      <c r="I3" s="1"/>
      <c r="J3" s="1"/>
      <c r="K3" s="1"/>
      <c r="L3" s="232"/>
    </row>
    <row r="4" spans="1:12" ht="13" x14ac:dyDescent="0.3">
      <c r="A4" s="304" t="str">
        <f ca="1">HLOOKUP(1,NOHAFCHART,17)</f>
        <v>COVID Flex Modification</v>
      </c>
      <c r="B4" s="301"/>
      <c r="C4" s="301"/>
      <c r="D4" s="301"/>
      <c r="E4" s="301"/>
      <c r="F4" s="305"/>
      <c r="G4" s="1"/>
      <c r="H4" s="69" t="str">
        <f ca="1">_xlfn.CONCAT("HTI ",A4)</f>
        <v>HTI COVID Flex Modification</v>
      </c>
      <c r="J4" s="1"/>
      <c r="K4" s="254">
        <f ca="1">IF(MOD,E26/GMI,"N/A")</f>
        <v>0.28313699396663838</v>
      </c>
      <c r="L4" s="232"/>
    </row>
    <row r="5" spans="1:12" x14ac:dyDescent="0.25">
      <c r="A5" s="7"/>
      <c r="B5" s="1"/>
      <c r="C5" s="255"/>
      <c r="D5" s="255"/>
      <c r="E5" s="255"/>
      <c r="F5" s="232"/>
      <c r="G5" s="1"/>
      <c r="H5" s="1"/>
      <c r="I5" s="1"/>
      <c r="J5" s="1"/>
      <c r="K5" s="1"/>
      <c r="L5" s="232"/>
    </row>
    <row r="6" spans="1:12" x14ac:dyDescent="0.25">
      <c r="A6" s="7"/>
      <c r="B6" s="69" t="s">
        <v>135</v>
      </c>
      <c r="C6" s="69" t="s">
        <v>115</v>
      </c>
      <c r="D6" s="1"/>
      <c r="E6" s="252">
        <f ca="1">HLOOKUP(1,NOHAFCHART,2)</f>
        <v>125976.2258</v>
      </c>
      <c r="F6" s="232"/>
      <c r="G6" s="1"/>
      <c r="H6" s="69" t="s">
        <v>127</v>
      </c>
      <c r="I6" s="69"/>
      <c r="J6" s="1"/>
      <c r="K6" s="215" t="str">
        <f ca="1">'Result Calculations'!C26</f>
        <v>N/A</v>
      </c>
      <c r="L6" s="232"/>
    </row>
    <row r="7" spans="1:12" ht="13" thickBot="1" x14ac:dyDescent="0.3">
      <c r="A7" s="7"/>
      <c r="B7" s="69"/>
      <c r="C7" s="69"/>
      <c r="D7" s="1"/>
      <c r="E7" s="268"/>
      <c r="F7" s="232"/>
      <c r="G7" s="1"/>
      <c r="H7" s="1"/>
      <c r="I7" s="1"/>
      <c r="J7" s="1"/>
      <c r="K7" s="1"/>
      <c r="L7" s="232"/>
    </row>
    <row r="8" spans="1:12" ht="13" thickBot="1" x14ac:dyDescent="0.3">
      <c r="A8" s="7"/>
      <c r="B8" s="69" t="s">
        <v>136</v>
      </c>
      <c r="C8" s="69" t="str">
        <f ca="1">HLOOKUP(1,NOHAFCHART,18)</f>
        <v>Rate to Lesser of:</v>
      </c>
      <c r="D8" s="1"/>
      <c r="E8" s="270">
        <f ca="1">HLOOKUP(1,NOHAFCHART,3)</f>
        <v>3.125E-2</v>
      </c>
      <c r="F8" s="232"/>
      <c r="G8" s="1"/>
      <c r="H8" s="69" t="s">
        <v>154</v>
      </c>
      <c r="I8" s="69"/>
      <c r="J8" s="1"/>
      <c r="K8" s="213"/>
      <c r="L8" s="232"/>
    </row>
    <row r="9" spans="1:12" x14ac:dyDescent="0.25">
      <c r="A9" s="7"/>
      <c r="B9" s="69"/>
      <c r="C9" s="69" t="s">
        <v>156</v>
      </c>
      <c r="D9" s="1"/>
      <c r="E9" s="263">
        <f>Inputs!N6</f>
        <v>3.125E-2</v>
      </c>
      <c r="F9" s="232"/>
      <c r="G9" s="1"/>
      <c r="H9" s="1"/>
      <c r="I9" s="69"/>
      <c r="J9" s="1"/>
      <c r="K9" s="1"/>
      <c r="L9" s="232"/>
    </row>
    <row r="10" spans="1:12" ht="13" x14ac:dyDescent="0.3">
      <c r="A10" s="7"/>
      <c r="B10" s="69"/>
      <c r="C10" s="69" t="str">
        <f>'Flex (HAF)'!B35</f>
        <v>Current Rate</v>
      </c>
      <c r="D10" s="1"/>
      <c r="E10" s="263">
        <f>Inputs!N11</f>
        <v>3.875E-2</v>
      </c>
      <c r="F10" s="232"/>
      <c r="G10" s="1"/>
      <c r="H10" s="301" t="str">
        <f ca="1">HLOOKUP(1,HAFCHART,17)</f>
        <v>COVID Flex Modification with HAF</v>
      </c>
      <c r="I10" s="301"/>
      <c r="J10" s="301"/>
      <c r="K10" s="301"/>
      <c r="L10" s="262"/>
    </row>
    <row r="11" spans="1:12" ht="13" x14ac:dyDescent="0.3">
      <c r="A11" s="7"/>
      <c r="B11" s="69"/>
      <c r="C11" s="94" t="s">
        <v>72</v>
      </c>
      <c r="D11" s="1"/>
      <c r="E11" s="245">
        <f ca="1">E8</f>
        <v>3.125E-2</v>
      </c>
      <c r="F11" s="232"/>
      <c r="G11" s="1"/>
      <c r="H11" s="1"/>
      <c r="I11" s="256"/>
      <c r="J11" s="256"/>
      <c r="K11" s="256"/>
      <c r="L11" s="232"/>
    </row>
    <row r="12" spans="1:12" x14ac:dyDescent="0.25">
      <c r="A12" s="7"/>
      <c r="B12" s="69"/>
      <c r="C12" s="94"/>
      <c r="D12" s="1"/>
      <c r="E12" s="249"/>
      <c r="F12" s="232"/>
      <c r="G12" s="1"/>
      <c r="H12" s="69" t="s">
        <v>135</v>
      </c>
      <c r="I12" s="69" t="s">
        <v>115</v>
      </c>
      <c r="J12" s="1"/>
      <c r="K12" s="273">
        <f ca="1">HLOOKUP(1,HAFCHART,2)</f>
        <v>125976.2258</v>
      </c>
      <c r="L12" s="232"/>
    </row>
    <row r="13" spans="1:12" x14ac:dyDescent="0.25">
      <c r="A13" s="7"/>
      <c r="B13" s="69" t="s">
        <v>137</v>
      </c>
      <c r="C13" s="69" t="s">
        <v>153</v>
      </c>
      <c r="D13" s="1"/>
      <c r="E13" s="1"/>
      <c r="F13" s="232"/>
      <c r="G13" s="1"/>
      <c r="H13" s="69"/>
      <c r="I13" s="69"/>
      <c r="J13" s="1"/>
      <c r="K13" s="274"/>
      <c r="L13" s="232"/>
    </row>
    <row r="14" spans="1:12" x14ac:dyDescent="0.25">
      <c r="A14" s="7"/>
      <c r="B14" s="1"/>
      <c r="C14" s="1"/>
      <c r="D14" s="69" t="s">
        <v>139</v>
      </c>
      <c r="E14" s="252">
        <f ca="1">HLOOKUP(1,NOHAFCHART,5)</f>
        <v>0</v>
      </c>
      <c r="F14" s="232"/>
      <c r="G14" s="1"/>
      <c r="H14" s="69" t="s">
        <v>136</v>
      </c>
      <c r="I14" s="69" t="str">
        <f ca="1">HLOOKUP(1,HAFCHART,18)</f>
        <v>Rate to Lesser of:</v>
      </c>
      <c r="J14" s="1"/>
      <c r="K14" s="270">
        <f ca="1">HLOOKUP(1,HAFCHART,3)</f>
        <v>3.125E-2</v>
      </c>
      <c r="L14" s="232"/>
    </row>
    <row r="15" spans="1:12" x14ac:dyDescent="0.25">
      <c r="A15" s="7"/>
      <c r="B15" s="1"/>
      <c r="C15" s="1"/>
      <c r="D15" s="69" t="s">
        <v>113</v>
      </c>
      <c r="E15" s="252">
        <f ca="1">HLOOKUP(1,NOHAFCHART,6)</f>
        <v>37792.867740000002</v>
      </c>
      <c r="F15" s="232"/>
      <c r="G15" s="1"/>
      <c r="H15" s="69"/>
      <c r="I15" s="69" t="s">
        <v>156</v>
      </c>
      <c r="J15" s="1"/>
      <c r="K15" s="263">
        <f>E9</f>
        <v>3.125E-2</v>
      </c>
      <c r="L15" s="232"/>
    </row>
    <row r="16" spans="1:12" x14ac:dyDescent="0.25">
      <c r="A16" s="7"/>
      <c r="B16" s="1"/>
      <c r="C16" s="69" t="s">
        <v>72</v>
      </c>
      <c r="D16" s="1"/>
      <c r="E16" s="266">
        <f ca="1">HLOOKUP(1,NOHAFCHART,7)</f>
        <v>0</v>
      </c>
      <c r="F16" s="232"/>
      <c r="G16" s="1"/>
      <c r="H16" s="69"/>
      <c r="I16" s="69" t="str">
        <f>C10</f>
        <v>Current Rate</v>
      </c>
      <c r="J16" s="1"/>
      <c r="K16" s="263">
        <f>E10</f>
        <v>3.875E-2</v>
      </c>
      <c r="L16" s="232"/>
    </row>
    <row r="17" spans="1:12" x14ac:dyDescent="0.25">
      <c r="A17" s="7"/>
      <c r="B17" s="1"/>
      <c r="C17" s="69"/>
      <c r="D17" s="1"/>
      <c r="E17" s="269"/>
      <c r="F17" s="232"/>
      <c r="G17" s="1"/>
      <c r="H17" s="69"/>
      <c r="I17" s="94" t="s">
        <v>72</v>
      </c>
      <c r="J17" s="1"/>
      <c r="K17" s="245">
        <f ca="1">K14</f>
        <v>3.125E-2</v>
      </c>
      <c r="L17" s="232"/>
    </row>
    <row r="18" spans="1:12" x14ac:dyDescent="0.25">
      <c r="A18" s="7"/>
      <c r="B18" s="69" t="s">
        <v>140</v>
      </c>
      <c r="C18" s="69" t="s">
        <v>157</v>
      </c>
      <c r="D18" s="1"/>
      <c r="E18" s="268"/>
      <c r="F18" s="232"/>
      <c r="G18" s="1"/>
      <c r="H18" s="69"/>
      <c r="I18" s="94"/>
      <c r="J18" s="1"/>
      <c r="K18" s="249"/>
      <c r="L18" s="232"/>
    </row>
    <row r="19" spans="1:12" x14ac:dyDescent="0.25">
      <c r="A19" s="7"/>
      <c r="B19" s="69"/>
      <c r="C19" s="265"/>
      <c r="D19" s="272" t="s">
        <v>161</v>
      </c>
      <c r="E19" s="267">
        <f ca="1">MAX(0,E6-E16-HLOOKUP(1,NOHAFCHART,19))</f>
        <v>0</v>
      </c>
      <c r="F19" s="232"/>
      <c r="G19" s="1"/>
      <c r="H19" s="69" t="s">
        <v>137</v>
      </c>
      <c r="I19" s="69" t="s">
        <v>138</v>
      </c>
      <c r="J19" s="1"/>
      <c r="K19" s="257"/>
      <c r="L19" s="232"/>
    </row>
    <row r="20" spans="1:12" x14ac:dyDescent="0.25">
      <c r="A20" s="7"/>
      <c r="B20" s="69"/>
      <c r="C20" s="1"/>
      <c r="D20" s="264" t="str">
        <f ca="1">IF(AND(DOFLEX,Inputs!N28&lt;3),"Target @ 40% HTI","")</f>
        <v/>
      </c>
      <c r="E20" s="252">
        <f ca="1">MAX(0,E6-E16-HLOOKUP(1,NOHAFCHART,20))</f>
        <v>125976.2258</v>
      </c>
      <c r="F20" s="232"/>
      <c r="G20" s="1"/>
      <c r="H20" s="1"/>
      <c r="I20" s="1"/>
      <c r="J20" s="68" t="s">
        <v>139</v>
      </c>
      <c r="K20" s="244">
        <f ca="1">HLOOKUP(1,HAFCHART,5)</f>
        <v>0</v>
      </c>
      <c r="L20" s="232"/>
    </row>
    <row r="21" spans="1:12" x14ac:dyDescent="0.25">
      <c r="A21" s="7"/>
      <c r="B21" s="1"/>
      <c r="C21" s="69" t="s">
        <v>142</v>
      </c>
      <c r="D21" s="1"/>
      <c r="E21" s="252">
        <f ca="1">HLOOKUP(1,NOHAFCHART,9)</f>
        <v>0</v>
      </c>
      <c r="F21" s="232"/>
      <c r="G21" s="1"/>
      <c r="H21" s="1"/>
      <c r="I21" s="1"/>
      <c r="J21" s="68" t="s">
        <v>113</v>
      </c>
      <c r="K21" s="244">
        <f ca="1">HLOOKUP(1,HAFCHART,6)</f>
        <v>37792.867740000002</v>
      </c>
      <c r="L21" s="232"/>
    </row>
    <row r="22" spans="1:12" x14ac:dyDescent="0.25">
      <c r="A22" s="7"/>
      <c r="B22" s="1"/>
      <c r="C22" s="69" t="s">
        <v>72</v>
      </c>
      <c r="D22" s="1"/>
      <c r="E22" s="252">
        <f ca="1">HLOOKUP(1,NOHAFCHART,10)</f>
        <v>0</v>
      </c>
      <c r="F22" s="232"/>
      <c r="G22" s="1"/>
      <c r="H22" s="1"/>
      <c r="I22" s="69" t="s">
        <v>72</v>
      </c>
      <c r="J22" s="1"/>
      <c r="K22" s="273">
        <f ca="1">HLOOKUP(1,HAFCHART,7)</f>
        <v>0</v>
      </c>
      <c r="L22" s="232"/>
    </row>
    <row r="23" spans="1:12" x14ac:dyDescent="0.25">
      <c r="A23" s="7"/>
      <c r="B23" s="1"/>
      <c r="C23" s="1"/>
      <c r="D23" s="1"/>
      <c r="E23" s="1"/>
      <c r="F23" s="232"/>
      <c r="G23" s="1"/>
      <c r="H23" s="1"/>
      <c r="I23" s="69"/>
      <c r="J23" s="1"/>
      <c r="K23" s="276"/>
      <c r="L23" s="232"/>
    </row>
    <row r="24" spans="1:12" ht="13" x14ac:dyDescent="0.3">
      <c r="A24" s="304" t="str">
        <f ca="1">IF(E25&lt;=Flex!E13,"Resulting Terms","Not Eligible for GSE Modification")</f>
        <v>Resulting Terms</v>
      </c>
      <c r="B24" s="301"/>
      <c r="C24" s="301"/>
      <c r="D24" s="301"/>
      <c r="E24" s="301"/>
      <c r="F24" s="305"/>
      <c r="G24" s="1"/>
      <c r="H24" s="69" t="s">
        <v>140</v>
      </c>
      <c r="I24" s="69" t="s">
        <v>141</v>
      </c>
      <c r="J24" s="1"/>
      <c r="K24" s="277"/>
      <c r="L24" s="232"/>
    </row>
    <row r="25" spans="1:12" x14ac:dyDescent="0.25">
      <c r="A25" s="7"/>
      <c r="B25" s="1"/>
      <c r="C25" s="69" t="s">
        <v>143</v>
      </c>
      <c r="D25" s="1"/>
      <c r="E25" s="246">
        <f ca="1">HLOOKUP(1,NOHAFCHART,11)</f>
        <v>460.0976151957874</v>
      </c>
      <c r="F25" s="232"/>
      <c r="G25" s="1"/>
      <c r="H25" s="69"/>
      <c r="I25" s="69"/>
      <c r="J25" s="272" t="s">
        <v>161</v>
      </c>
      <c r="K25" s="275">
        <f ca="1">MAX(0,K12-K22-HLOOKUP(1,HAFCHART,19))</f>
        <v>0</v>
      </c>
      <c r="L25" s="232"/>
    </row>
    <row r="26" spans="1:12" x14ac:dyDescent="0.25">
      <c r="A26" s="7"/>
      <c r="B26" s="1"/>
      <c r="C26" s="69" t="s">
        <v>144</v>
      </c>
      <c r="D26" s="1"/>
      <c r="E26" s="246">
        <f ca="1">HLOOKUP(1,NOHAFCHART,12)</f>
        <v>460.0976151957874</v>
      </c>
      <c r="F26" s="232"/>
      <c r="G26" s="1"/>
      <c r="H26" s="69"/>
      <c r="I26" s="69"/>
      <c r="J26" s="272" t="str">
        <f ca="1">IF(AND(DOCOVIDFLEX,Inputs!N28&lt;3),"Target @ 40% HTI","")</f>
        <v/>
      </c>
      <c r="K26" s="244">
        <f ca="1">MAX(0,K12-K22-HLOOKUP(1,HAFCHART,19))</f>
        <v>0</v>
      </c>
      <c r="L26" s="232"/>
    </row>
    <row r="27" spans="1:12" x14ac:dyDescent="0.25">
      <c r="A27" s="7"/>
      <c r="B27" s="1"/>
      <c r="C27" s="69" t="s">
        <v>115</v>
      </c>
      <c r="D27" s="1"/>
      <c r="E27" s="246">
        <f ca="1">HLOOKUP(1,NOHAFCHART,13)</f>
        <v>125976.2258</v>
      </c>
      <c r="F27" s="232"/>
      <c r="G27" s="1"/>
      <c r="H27" s="1"/>
      <c r="I27" s="69" t="s">
        <v>142</v>
      </c>
      <c r="J27" s="1"/>
      <c r="K27" s="244">
        <f ca="1">HLOOKUP(1,HAFCHART,9)</f>
        <v>0</v>
      </c>
      <c r="L27" s="232"/>
    </row>
    <row r="28" spans="1:12" x14ac:dyDescent="0.25">
      <c r="A28" s="7"/>
      <c r="B28" s="1"/>
      <c r="C28" s="69" t="s">
        <v>53</v>
      </c>
      <c r="D28" s="1"/>
      <c r="E28" s="246">
        <f ca="1">HLOOKUP(1,NOHAFCHART,14)</f>
        <v>0</v>
      </c>
      <c r="F28" s="232"/>
      <c r="G28" s="1"/>
      <c r="H28" s="1"/>
      <c r="I28" s="69" t="s">
        <v>72</v>
      </c>
      <c r="J28" s="1"/>
      <c r="K28" s="244">
        <f ca="1">HLOOKUP(1,HAFCHART,10)</f>
        <v>0</v>
      </c>
      <c r="L28" s="232"/>
    </row>
    <row r="29" spans="1:12" x14ac:dyDescent="0.25">
      <c r="A29" s="7"/>
      <c r="B29" s="1"/>
      <c r="C29" s="69" t="s">
        <v>133</v>
      </c>
      <c r="D29" s="1"/>
      <c r="E29" s="221">
        <f ca="1">HLOOKUP(1,NOHAFCHART,15)</f>
        <v>3.125E-2</v>
      </c>
      <c r="F29" s="232"/>
      <c r="G29" s="1"/>
      <c r="H29" s="1"/>
      <c r="I29" s="1"/>
      <c r="J29" s="1"/>
      <c r="K29" s="257"/>
      <c r="L29" s="232"/>
    </row>
    <row r="30" spans="1:12" ht="13" x14ac:dyDescent="0.3">
      <c r="A30" s="7"/>
      <c r="B30" s="1"/>
      <c r="C30" s="69" t="s">
        <v>134</v>
      </c>
      <c r="D30" s="1"/>
      <c r="E30" s="253">
        <f ca="1">HLOOKUP(1,NOHAFCHART,16)</f>
        <v>480</v>
      </c>
      <c r="F30" s="232"/>
      <c r="G30" s="1"/>
      <c r="H30" s="1"/>
      <c r="I30" s="301" t="str">
        <f ca="1">IF(HAFMOD,"Resulting Terms","Not Eligible for GSE Modification")</f>
        <v>Resulting Terms</v>
      </c>
      <c r="J30" s="301"/>
      <c r="K30" s="301"/>
      <c r="L30" s="232"/>
    </row>
    <row r="31" spans="1:12" x14ac:dyDescent="0.25">
      <c r="A31" s="7"/>
      <c r="B31" s="1"/>
      <c r="C31" s="1"/>
      <c r="D31" s="1"/>
      <c r="E31" s="1"/>
      <c r="F31" s="232"/>
      <c r="G31" s="1"/>
      <c r="H31" s="1"/>
      <c r="I31" s="69" t="s">
        <v>143</v>
      </c>
      <c r="J31" s="1"/>
      <c r="K31" s="220">
        <f ca="1">HLOOKUP(1,HAFCHART,11)</f>
        <v>460.0976151957874</v>
      </c>
      <c r="L31" s="232"/>
    </row>
    <row r="32" spans="1:12" x14ac:dyDescent="0.25">
      <c r="A32" s="7"/>
      <c r="B32" s="1"/>
      <c r="C32" s="1"/>
      <c r="D32" s="1"/>
      <c r="E32" s="1"/>
      <c r="F32" s="232"/>
      <c r="G32" s="1"/>
      <c r="H32" s="1"/>
      <c r="I32" s="69" t="s">
        <v>144</v>
      </c>
      <c r="J32" s="1"/>
      <c r="K32" s="220">
        <f ca="1">HLOOKUP(1,HAFCHART,12)</f>
        <v>460.0976151957874</v>
      </c>
      <c r="L32" s="232"/>
    </row>
    <row r="33" spans="1:12" x14ac:dyDescent="0.25">
      <c r="A33" s="7"/>
      <c r="B33" s="1"/>
      <c r="C33" s="1"/>
      <c r="D33" s="1"/>
      <c r="E33" s="1"/>
      <c r="F33" s="232"/>
      <c r="G33" s="1"/>
      <c r="H33" s="1"/>
      <c r="I33" s="69" t="s">
        <v>115</v>
      </c>
      <c r="J33" s="1"/>
      <c r="K33" s="220">
        <f ca="1">HLOOKUP(1,HAFCHART,13)</f>
        <v>125976.2258</v>
      </c>
      <c r="L33" s="232"/>
    </row>
    <row r="34" spans="1:12" x14ac:dyDescent="0.25">
      <c r="A34" s="7"/>
      <c r="B34" s="1"/>
      <c r="C34" s="1"/>
      <c r="D34" s="1"/>
      <c r="E34" s="1"/>
      <c r="F34" s="232"/>
      <c r="G34" s="1"/>
      <c r="H34" s="1"/>
      <c r="I34" s="69" t="s">
        <v>53</v>
      </c>
      <c r="J34" s="1"/>
      <c r="K34" s="220">
        <f ca="1">HLOOKUP(1,HAFCHART,14)</f>
        <v>0</v>
      </c>
      <c r="L34" s="232"/>
    </row>
    <row r="35" spans="1:12" x14ac:dyDescent="0.25">
      <c r="A35" s="7"/>
      <c r="B35" s="1"/>
      <c r="C35" s="1"/>
      <c r="D35" s="1"/>
      <c r="E35" s="1"/>
      <c r="F35" s="232"/>
      <c r="G35" s="1"/>
      <c r="H35" s="1"/>
      <c r="I35" s="69" t="s">
        <v>133</v>
      </c>
      <c r="J35" s="1"/>
      <c r="K35" s="221">
        <f ca="1">HLOOKUP(1,HAFCHART,15)</f>
        <v>3.125E-2</v>
      </c>
      <c r="L35" s="232"/>
    </row>
    <row r="36" spans="1:12" x14ac:dyDescent="0.25">
      <c r="A36" s="7"/>
      <c r="B36" s="1"/>
      <c r="C36" s="1"/>
      <c r="D36" s="1"/>
      <c r="E36" s="1"/>
      <c r="F36" s="232"/>
      <c r="G36" s="1"/>
      <c r="H36" s="1"/>
      <c r="I36" s="69" t="s">
        <v>134</v>
      </c>
      <c r="J36" s="1"/>
      <c r="K36" s="247">
        <f ca="1">HLOOKUP(1,HAFCHART,16)</f>
        <v>480</v>
      </c>
      <c r="L36" s="232"/>
    </row>
    <row r="37" spans="1:12" x14ac:dyDescent="0.25">
      <c r="A37" s="7"/>
      <c r="B37" s="1"/>
      <c r="C37" s="1"/>
      <c r="D37" s="1"/>
      <c r="E37" s="1"/>
      <c r="F37" s="232"/>
      <c r="G37" s="1"/>
      <c r="H37" s="1"/>
      <c r="I37" s="69" t="s">
        <v>128</v>
      </c>
      <c r="J37" s="1"/>
      <c r="K37" s="222">
        <f ca="1">K32/GMI</f>
        <v>0.28313699396663838</v>
      </c>
      <c r="L37" s="232"/>
    </row>
    <row r="38" spans="1:12" x14ac:dyDescent="0.25">
      <c r="A38" s="233"/>
      <c r="B38" s="12"/>
      <c r="C38" s="12"/>
      <c r="D38" s="12"/>
      <c r="E38" s="12"/>
      <c r="F38" s="235"/>
      <c r="G38" s="12"/>
      <c r="H38" s="12"/>
      <c r="I38" s="12"/>
      <c r="J38" s="12"/>
      <c r="K38" s="12"/>
      <c r="L38" s="235"/>
    </row>
  </sheetData>
  <mergeCells count="6">
    <mergeCell ref="I30:K30"/>
    <mergeCell ref="A2:F2"/>
    <mergeCell ref="A4:F4"/>
    <mergeCell ref="A24:F24"/>
    <mergeCell ref="H2:L2"/>
    <mergeCell ref="H10:K10"/>
  </mergeCells>
  <conditionalFormatting sqref="I31:K37">
    <cfRule type="expression" dxfId="17" priority="10">
      <formula>IF(HAFMOD,0,1)</formula>
    </cfRule>
  </conditionalFormatting>
  <conditionalFormatting sqref="C25:E30">
    <cfRule type="expression" dxfId="16" priority="166">
      <formula>IF($A$24="Resulting Terms",0,1)</formula>
    </cfRule>
  </conditionalFormatting>
  <conditionalFormatting sqref="H10:K37">
    <cfRule type="expression" dxfId="15" priority="1" stopIfTrue="1">
      <formula>IF($K$8=0,1,0)</formula>
    </cfRule>
  </conditionalFormatting>
  <conditionalFormatting sqref="E9">
    <cfRule type="expression" dxfId="14" priority="8">
      <formula>IF($C$8="Keep Current Rate",1,0)</formula>
    </cfRule>
  </conditionalFormatting>
  <conditionalFormatting sqref="C9:C11 E10:E11">
    <cfRule type="expression" dxfId="13" priority="7">
      <formula>IF($C$8="Keep Current Rate",1,0)</formula>
    </cfRule>
  </conditionalFormatting>
  <conditionalFormatting sqref="E8">
    <cfRule type="expression" dxfId="12" priority="5">
      <formula>IF($C$8="Rate to Lesser of:",1,0)</formula>
    </cfRule>
  </conditionalFormatting>
  <conditionalFormatting sqref="K15">
    <cfRule type="expression" dxfId="11" priority="9">
      <formula>IF($I$14="Keep Current Rate",1,0)</formula>
    </cfRule>
  </conditionalFormatting>
  <conditionalFormatting sqref="I15:I18 K16:K18">
    <cfRule type="expression" dxfId="10" priority="4">
      <formula>IF($I$14="Keep Current Rate",1,0)</formula>
    </cfRule>
  </conditionalFormatting>
  <conditionalFormatting sqref="K26">
    <cfRule type="expression" dxfId="9" priority="3">
      <formula>IF($J$26="",1,0)</formula>
    </cfRule>
  </conditionalFormatting>
  <conditionalFormatting sqref="K14">
    <cfRule type="expression" dxfId="8" priority="2">
      <formula>IF($I$14="Rate to Lesser of:",1,0)</formula>
    </cfRule>
  </conditionalFormatting>
  <pageMargins left="0.7" right="0.7" top="0.75" bottom="0.75" header="0.3" footer="0.3"/>
  <pageSetup orientation="portrait" r:id="rId1"/>
  <headerFooter>
    <oddHeader>&amp;L&amp;14&amp;F
Run on: &amp;D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C06925AE-919B-4115-A34D-E9964AA87BB2}">
            <xm:f>IF(AND(DOFLEX,Inputs!N28&lt;3),0,1)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E20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AA809-AD11-4BE6-87EA-769B2A9C19FC}">
  <dimension ref="B2:E9"/>
  <sheetViews>
    <sheetView workbookViewId="0">
      <selection activeCell="E5" sqref="E5"/>
    </sheetView>
  </sheetViews>
  <sheetFormatPr defaultRowHeight="12.5" x14ac:dyDescent="0.25"/>
  <cols>
    <col min="5" max="5" width="14.54296875" customWidth="1"/>
  </cols>
  <sheetData>
    <row r="2" spans="2:5" x14ac:dyDescent="0.25">
      <c r="C2" s="67" t="s">
        <v>131</v>
      </c>
    </row>
    <row r="4" spans="2:5" x14ac:dyDescent="0.25">
      <c r="B4" s="72" t="s">
        <v>73</v>
      </c>
      <c r="C4" s="39"/>
      <c r="D4" s="39"/>
      <c r="E4" s="208">
        <f ca="1">Flex!P36</f>
        <v>516.75203995131335</v>
      </c>
    </row>
    <row r="5" spans="2:5" x14ac:dyDescent="0.25">
      <c r="B5" s="72" t="s">
        <v>74</v>
      </c>
      <c r="C5" s="39"/>
      <c r="D5" s="39"/>
      <c r="E5" s="209">
        <f ca="1">Flex!P37</f>
        <v>516.75203995131335</v>
      </c>
    </row>
    <row r="6" spans="2:5" x14ac:dyDescent="0.25">
      <c r="B6" s="137" t="s">
        <v>75</v>
      </c>
      <c r="C6" s="39"/>
      <c r="D6" s="39"/>
      <c r="E6" s="209">
        <f ca="1">Flex!P38</f>
        <v>125976.2258</v>
      </c>
    </row>
    <row r="7" spans="2:5" x14ac:dyDescent="0.25">
      <c r="B7" s="137" t="s">
        <v>77</v>
      </c>
      <c r="C7" s="39"/>
      <c r="D7" s="39"/>
      <c r="E7" s="209">
        <f ca="1">Flex!P39</f>
        <v>0</v>
      </c>
    </row>
    <row r="8" spans="2:5" x14ac:dyDescent="0.25">
      <c r="B8" s="72" t="s">
        <v>78</v>
      </c>
      <c r="C8" s="39"/>
      <c r="D8" s="39"/>
      <c r="E8" s="239">
        <f ca="1">Flex!P40</f>
        <v>3.875E-2</v>
      </c>
    </row>
    <row r="9" spans="2:5" x14ac:dyDescent="0.25">
      <c r="B9" s="72" t="s">
        <v>81</v>
      </c>
      <c r="C9" s="39"/>
      <c r="D9" s="39"/>
      <c r="E9" s="209">
        <f>Flex!P41</f>
        <v>480</v>
      </c>
    </row>
  </sheetData>
  <conditionalFormatting sqref="B4:E9">
    <cfRule type="expression" dxfId="6" priority="152">
      <formula>IF(-PMT(#REF!/12,#REF!,$M$20-$M$31)&gt;#REF!,1,0)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31452424-52C6-4544-A25C-2B65AC97313F}">
            <xm:f>IF(Inputs!$N$26&gt;=DATE(2020,1,1),0,1)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B4:E9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C302C-456A-4A38-930F-DA1B112BC8A2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B615635221324388FC5E6FF9FDFEDF" ma:contentTypeVersion="16" ma:contentTypeDescription="Create a new document." ma:contentTypeScope="" ma:versionID="b6e7607d721af44490d50d9cd3f5cb9d">
  <xsd:schema xmlns:xsd="http://www.w3.org/2001/XMLSchema" xmlns:xs="http://www.w3.org/2001/XMLSchema" xmlns:p="http://schemas.microsoft.com/office/2006/metadata/properties" xmlns:ns2="499f3542-0688-476c-b09c-0c039bfdd880" xmlns:ns3="d4b49695-86d2-4524-9ca1-043c44a2ad66" targetNamespace="http://schemas.microsoft.com/office/2006/metadata/properties" ma:root="true" ma:fieldsID="058fea76a43a2c2c67b241f18533c3dd" ns2:_="" ns3:_="">
    <xsd:import namespace="499f3542-0688-476c-b09c-0c039bfdd880"/>
    <xsd:import namespace="d4b49695-86d2-4524-9ca1-043c44a2ad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Date" minOccurs="0"/>
                <xsd:element ref="ns2:Date_x0021_" minOccurs="0"/>
                <xsd:element ref="ns2:Text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f3542-0688-476c-b09c-0c039bfdd8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Date" ma:index="19" nillable="true" ma:displayName="Date" ma:format="DateOnly" ma:internalName="Date">
      <xsd:simpleType>
        <xsd:restriction base="dms:DateTime"/>
      </xsd:simpleType>
    </xsd:element>
    <xsd:element name="Date_x0021_" ma:index="20" nillable="true" ma:displayName="Date!" ma:format="DateOnly" ma:internalName="Date_x0021_">
      <xsd:simpleType>
        <xsd:restriction base="dms:DateTime"/>
      </xsd:simpleType>
    </xsd:element>
    <xsd:element name="Text" ma:index="21" nillable="true" ma:displayName="Text" ma:format="Dropdown" ma:internalName="Text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49695-86d2-4524-9ca1-043c44a2ad6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_x0021_ xmlns="499f3542-0688-476c-b09c-0c039bfdd880" xsi:nil="true"/>
    <Text xmlns="499f3542-0688-476c-b09c-0c039bfdd880" xsi:nil="true"/>
    <Date xmlns="499f3542-0688-476c-b09c-0c039bfdd880" xsi:nil="true"/>
  </documentManagement>
</p:properties>
</file>

<file path=customXml/itemProps1.xml><?xml version="1.0" encoding="utf-8"?>
<ds:datastoreItem xmlns:ds="http://schemas.openxmlformats.org/officeDocument/2006/customXml" ds:itemID="{634F2869-3165-41DB-8402-3B7353D0BB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BC3121-B194-4F4D-9C67-17D968B356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9f3542-0688-476c-b09c-0c039bfdd880"/>
    <ds:schemaRef ds:uri="d4b49695-86d2-4524-9ca1-043c44a2ad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3528BA-E103-4563-A603-D9B1FC877DEC}">
  <ds:schemaRefs>
    <ds:schemaRef ds:uri="http://purl.org/dc/dcmitype/"/>
    <ds:schemaRef ds:uri="499f3542-0688-476c-b09c-0c039bfdd880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d4b49695-86d2-4524-9ca1-043c44a2ad66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44</vt:i4>
      </vt:variant>
    </vt:vector>
  </HeadingPairs>
  <TitlesOfParts>
    <vt:vector size="55" baseType="lpstr">
      <vt:lpstr>Inputs</vt:lpstr>
      <vt:lpstr>Flex (HAF)</vt:lpstr>
      <vt:lpstr>Flex</vt:lpstr>
      <vt:lpstr>COVID Flex</vt:lpstr>
      <vt:lpstr>COVID Flex (HAF)</vt:lpstr>
      <vt:lpstr>Result Calculations</vt:lpstr>
      <vt:lpstr>Outcome</vt:lpstr>
      <vt:lpstr>Sheet2</vt:lpstr>
      <vt:lpstr>Sheet1</vt:lpstr>
      <vt:lpstr>Standard</vt:lpstr>
      <vt:lpstr>Calculations</vt:lpstr>
      <vt:lpstr>CMTMLTV</vt:lpstr>
      <vt:lpstr>Current</vt:lpstr>
      <vt:lpstr>DOCOVIDFLEX</vt:lpstr>
      <vt:lpstr>DOFLEX</vt:lpstr>
      <vt:lpstr>DTI</vt:lpstr>
      <vt:lpstr>GMI</vt:lpstr>
      <vt:lpstr>HAF</vt:lpstr>
      <vt:lpstr>HAFCHART</vt:lpstr>
      <vt:lpstr>HAFMOD</vt:lpstr>
      <vt:lpstr>infotype</vt:lpstr>
      <vt:lpstr>'COVID Flex (HAF)'!MaxDTI</vt:lpstr>
      <vt:lpstr>Flex!MaxDTI</vt:lpstr>
      <vt:lpstr>'Flex (HAF)'!MaxDTI</vt:lpstr>
      <vt:lpstr>MaxDTI</vt:lpstr>
      <vt:lpstr>'COVID Flex (HAF)'!MinDTI</vt:lpstr>
      <vt:lpstr>Flex!MinDTI</vt:lpstr>
      <vt:lpstr>'Flex (HAF)'!MinDTI</vt:lpstr>
      <vt:lpstr>MinDTI</vt:lpstr>
      <vt:lpstr>MOD</vt:lpstr>
      <vt:lpstr>MTMLTV</vt:lpstr>
      <vt:lpstr>NOHAFCHART</vt:lpstr>
      <vt:lpstr>Owner</vt:lpstr>
      <vt:lpstr>PAF</vt:lpstr>
      <vt:lpstr>Payoff</vt:lpstr>
      <vt:lpstr>'COVID Flex (HAF)'!PIREDUCTION</vt:lpstr>
      <vt:lpstr>Flex!PIREDUCTION</vt:lpstr>
      <vt:lpstr>'Flex (HAF)'!PIREDUCTION</vt:lpstr>
      <vt:lpstr>Standard!PIREDUCTION</vt:lpstr>
      <vt:lpstr>PIREDUCTION</vt:lpstr>
      <vt:lpstr>RateTable</vt:lpstr>
      <vt:lpstr>RateType</vt:lpstr>
      <vt:lpstr>Standard!T2PITIA</vt:lpstr>
      <vt:lpstr>'COVID Flex (HAF)'!TierTwo</vt:lpstr>
      <vt:lpstr>Flex!TierTwo</vt:lpstr>
      <vt:lpstr>'Flex (HAF)'!TierTwo</vt:lpstr>
      <vt:lpstr>Standard!TierTwo</vt:lpstr>
      <vt:lpstr>TierTwo</vt:lpstr>
      <vt:lpstr>TODAY</vt:lpstr>
      <vt:lpstr>TYPE</vt:lpstr>
      <vt:lpstr>'COVID Flex (HAF)'!UPB</vt:lpstr>
      <vt:lpstr>Flex!UPB</vt:lpstr>
      <vt:lpstr>'Flex (HAF)'!UPB</vt:lpstr>
      <vt:lpstr>UPB</vt:lpstr>
      <vt:lpstr>Value</vt:lpstr>
    </vt:vector>
  </TitlesOfParts>
  <Manager/>
  <Company>Eastside Community Development Corp.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MFY Legal Services</dc:creator>
  <cp:keywords/>
  <dc:description/>
  <cp:lastModifiedBy>Joseph Rebella</cp:lastModifiedBy>
  <cp:revision/>
  <dcterms:created xsi:type="dcterms:W3CDTF">2010-03-17T18:01:29Z</dcterms:created>
  <dcterms:modified xsi:type="dcterms:W3CDTF">2022-01-20T20:53:18Z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0x010100CDB615635221324388FC5E6FF9FDFEDF</vt:lpwstr>
  </property>
  <property fmtid="{D5CDD505-2E9C-101B-9397-08002B2CF9AE}" pid="3" name="Order">
    <vt:r8>64792000</vt:r8>
  </property>
</Properties>
</file>