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2"/>
  <workbookPr updateLinks="never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rebella\Mobilization for Justice\S Drive-Shared - FPP\Waterfall Worksheet\"/>
    </mc:Choice>
  </mc:AlternateContent>
  <xr:revisionPtr revIDLastSave="4" documentId="13_ncr:1_{6CBE82A3-1F13-411F-8692-CAB8C6018EDC}" xr6:coauthVersionLast="47" xr6:coauthVersionMax="47" xr10:uidLastSave="{058B08CA-96F1-4F40-8981-E0C13AB3946E}"/>
  <bookViews>
    <workbookView xWindow="28680" yWindow="-120" windowWidth="29040" windowHeight="15840" xr2:uid="{00000000-000D-0000-FFFF-FFFF00000000}"/>
  </bookViews>
  <sheets>
    <sheet name="FHA COVID Recovery Worksheet" sheetId="8" r:id="rId1"/>
    <sheet name="MIP Calculator" sheetId="13" state="hidden" r:id="rId2"/>
    <sheet name="Workout Result" sheetId="11" state="hidden" r:id="rId3"/>
    <sheet name="Data Validation" sheetId="14" state="hidden" r:id="rId4"/>
  </sheets>
  <definedNames>
    <definedName name="CAPUPB">'Data Validation'!$B$20</definedName>
    <definedName name="DDate">'FHA COVID Recovery Worksheet'!$E$23</definedName>
    <definedName name="DIPMT">'Data Validation'!#REF!</definedName>
    <definedName name="DMPC">'Data Validation'!$B$5</definedName>
    <definedName name="DMWIP">'Data Validation'!$B$6</definedName>
    <definedName name="DSAHM">'Data Validation'!$B$4</definedName>
    <definedName name="DSAM">'Data Validation'!#REF!</definedName>
    <definedName name="DSAPC">'Data Validation'!#REF!</definedName>
    <definedName name="DSAPM">'Data Validation'!#REF!</definedName>
    <definedName name="DUPB">'FHA COVID Recovery Worksheet'!$E$26</definedName>
    <definedName name="EMPC">'Data Validation'!#REF!</definedName>
    <definedName name="FPAY">'FHA COVID Recovery Worksheet'!$E$11</definedName>
    <definedName name="GFORB">'Data Validation'!$B$8</definedName>
    <definedName name="GIPMT">'Data Validation'!#REF!</definedName>
    <definedName name="GMI">'FHA COVID Recovery Worksheet'!#REF!</definedName>
    <definedName name="GMPC">'Data Validation'!#REF!</definedName>
    <definedName name="GMPCAD">'Data Validation'!#REF!</definedName>
    <definedName name="GSAHM">'Data Validation'!$B$11</definedName>
    <definedName name="GSAM">'Data Validation'!#REF!</definedName>
    <definedName name="GSAPC">'Data Validation'!$B$10</definedName>
    <definedName name="GTM">'Data Validation'!$B$9</definedName>
    <definedName name="infotype">'Data Validation'!$B$17</definedName>
    <definedName name="LOANTERM">'FHA COVID Recovery Worksheet'!$E$9</definedName>
    <definedName name="Market">'FHA COVID Recovery Worksheet'!$E$37</definedName>
    <definedName name="MIP">'MIP Calculator'!$C$7</definedName>
    <definedName name="MIPFIN">'FHA COVID Recovery Worksheet'!#REF!</definedName>
    <definedName name="MIPMATRIX">'MIP Calculator'!$E$2:$L$5</definedName>
    <definedName name="MIPRATE">'MIP Calculator'!$A$18</definedName>
    <definedName name="NoMod">'Data Validation'!$B$14</definedName>
    <definedName name="nper" localSheetId="0">'FHA COVID Recovery Worksheet'!TERM*12</definedName>
    <definedName name="nper">term*12</definedName>
    <definedName name="OPRINC">'FHA COVID Recovery Worksheet'!$E$8</definedName>
    <definedName name="ORATE">'FHA COVID Recovery Worksheet'!#REF!</definedName>
    <definedName name="OutcomeMatrix">'Data Validation'!$E$3:$L$10</definedName>
    <definedName name="OVALUE">'FHA COVID Recovery Worksheet'!#REF!</definedName>
    <definedName name="Payoff">'FHA COVID Recovery Worksheet'!$E$20</definedName>
    <definedName name="PTM">'Data Validation'!#REF!</definedName>
    <definedName name="rate">'FHA COVID Recovery Worksheet'!$E$10</definedName>
    <definedName name="Reinstate">'Data Validation'!$H$17</definedName>
    <definedName name="StepFive">'Data Validation'!$B$2</definedName>
    <definedName name="StepFour">'Data Validation'!$B$1</definedName>
    <definedName name="StepSix">'Data Validation'!$B$3</definedName>
    <definedName name="StepThree">'Data Validation'!#REF!</definedName>
    <definedName name="TERM" localSheetId="0">'FHA COVID Recovery Worksheet'!$E$9</definedName>
    <definedName name="TIA">'FHA COVID Recovery Worksheet'!$F$21</definedName>
    <definedName name="TODAY">'FHA COVID Recovery Worksheet'!$E$24</definedName>
    <definedName name="UFMIPRATE">'MIP Calculator'!$B$18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8" l="1"/>
  <c r="B36" i="8"/>
  <c r="J17" i="8"/>
  <c r="J16" i="8"/>
  <c r="E37" i="8" l="1"/>
  <c r="B9" i="14"/>
  <c r="B41" i="8"/>
  <c r="J34" i="8" l="1"/>
  <c r="J29" i="8"/>
  <c r="M7" i="8"/>
  <c r="F4" i="13"/>
  <c r="L2" i="13"/>
  <c r="H2" i="13"/>
  <c r="I2" i="13"/>
  <c r="J2" i="13"/>
  <c r="K2" i="13"/>
  <c r="G2" i="13"/>
  <c r="F2" i="13"/>
  <c r="E16" i="8"/>
  <c r="H9" i="14"/>
  <c r="K4" i="14"/>
  <c r="E24" i="8"/>
  <c r="M30" i="8" l="1"/>
  <c r="E17" i="8"/>
  <c r="B18" i="13"/>
  <c r="C10" i="13" s="1"/>
  <c r="E25" i="8"/>
  <c r="E31" i="8" s="1"/>
  <c r="H10" i="14"/>
  <c r="E27" i="8" l="1"/>
  <c r="E29" i="8"/>
  <c r="E28" i="8"/>
  <c r="B17" i="14"/>
  <c r="E26" i="8" l="1"/>
  <c r="M18" i="8" s="1"/>
  <c r="M25" i="8" s="1"/>
  <c r="B21" i="8"/>
  <c r="B26" i="8"/>
  <c r="B30" i="8"/>
  <c r="B31" i="8"/>
  <c r="B22" i="8"/>
  <c r="B33" i="8"/>
  <c r="B32" i="8"/>
  <c r="B29" i="8"/>
  <c r="B28" i="8"/>
  <c r="B27" i="8"/>
  <c r="B25" i="8"/>
  <c r="B24" i="8"/>
  <c r="B2" i="13"/>
  <c r="B7" i="8"/>
  <c r="I5" i="13" l="1"/>
  <c r="K5" i="13"/>
  <c r="F5" i="13"/>
  <c r="E30" i="8"/>
  <c r="H5" i="13"/>
  <c r="J5" i="13"/>
  <c r="C16" i="13"/>
  <c r="G5" i="13"/>
  <c r="C13" i="13"/>
  <c r="L5" i="13" s="1"/>
  <c r="J9" i="14"/>
  <c r="K9" i="14"/>
  <c r="I9" i="14"/>
  <c r="G9" i="14"/>
  <c r="B1" i="13"/>
  <c r="A4" i="13" s="1"/>
  <c r="L4" i="13" l="1"/>
  <c r="K4" i="13"/>
  <c r="A18" i="13" s="1"/>
  <c r="J4" i="13"/>
  <c r="I4" i="13"/>
  <c r="H4" i="13"/>
  <c r="G4" i="13"/>
  <c r="B4" i="13"/>
  <c r="A5" i="13"/>
  <c r="B5" i="13" s="1"/>
  <c r="A6" i="13" l="1"/>
  <c r="B6" i="13" s="1"/>
  <c r="A7" i="13" l="1"/>
  <c r="B7" i="13" s="1"/>
  <c r="A8" i="13" l="1"/>
  <c r="A9" i="13" l="1"/>
  <c r="B8" i="13"/>
  <c r="B9" i="13" l="1"/>
  <c r="A10" i="13"/>
  <c r="B10" i="13" l="1"/>
  <c r="A11" i="13"/>
  <c r="B11" i="13" l="1"/>
  <c r="A12" i="13"/>
  <c r="B12" i="13" l="1"/>
  <c r="A13" i="13"/>
  <c r="B13" i="13" l="1"/>
  <c r="A14" i="13"/>
  <c r="B14" i="13" l="1"/>
  <c r="A15" i="13"/>
  <c r="B15" i="13" s="1"/>
  <c r="C4" i="13" l="1"/>
  <c r="C7" i="13" s="1"/>
  <c r="E33" i="8" l="1"/>
  <c r="M5" i="8" l="1"/>
  <c r="M26" i="8"/>
  <c r="M17" i="8"/>
  <c r="H17" i="14" s="1"/>
  <c r="I20" i="8" s="1"/>
  <c r="M27" i="8" l="1"/>
  <c r="M8" i="8"/>
  <c r="M9" i="8" s="1"/>
  <c r="I10" i="8" s="1"/>
  <c r="B20" i="14"/>
  <c r="F21" i="8"/>
  <c r="H8" i="14"/>
  <c r="H5" i="14"/>
  <c r="M32" i="8" l="1"/>
  <c r="M28" i="8"/>
  <c r="M34" i="8" s="1"/>
  <c r="I5" i="14"/>
  <c r="I6" i="14" s="1"/>
  <c r="H7" i="14"/>
  <c r="H6" i="14"/>
  <c r="I7" i="14"/>
  <c r="K7" i="14"/>
  <c r="K8" i="14" s="1"/>
  <c r="K5" i="14"/>
  <c r="K6" i="14" s="1"/>
  <c r="J7" i="14"/>
  <c r="J8" i="14" s="1"/>
  <c r="G5" i="14"/>
  <c r="G6" i="14" s="1"/>
  <c r="G7" i="14"/>
  <c r="J5" i="14"/>
  <c r="J6" i="14" s="1"/>
  <c r="M36" i="8" l="1"/>
  <c r="M35" i="8"/>
  <c r="M29" i="8"/>
  <c r="B1" i="14"/>
  <c r="B2" i="14" s="1"/>
  <c r="B3" i="14" s="1"/>
  <c r="L5" i="14"/>
  <c r="M31" i="8" l="1"/>
  <c r="M37" i="8"/>
  <c r="B8" i="14"/>
  <c r="M42" i="8" l="1"/>
  <c r="M43" i="8"/>
  <c r="M33" i="8"/>
  <c r="M40" i="8" s="1"/>
  <c r="M41" i="8" s="1"/>
  <c r="J33" i="8"/>
  <c r="F3" i="14"/>
  <c r="G3" i="14"/>
  <c r="B10" i="14"/>
  <c r="M44" i="8" l="1"/>
  <c r="M45" i="8" s="1"/>
  <c r="H3" i="14"/>
  <c r="B4" i="14"/>
  <c r="B11" i="14" l="1"/>
  <c r="B5" i="14" s="1"/>
  <c r="I3" i="14" l="1"/>
  <c r="B12" i="14" l="1"/>
  <c r="J3" i="14" s="1"/>
  <c r="B6" i="14" l="1"/>
  <c r="B13" i="14" l="1"/>
  <c r="K3" i="14" s="1"/>
  <c r="B14" i="14" l="1"/>
  <c r="L3" i="14" l="1"/>
</calcChain>
</file>

<file path=xl/sharedStrings.xml><?xml version="1.0" encoding="utf-8"?>
<sst xmlns="http://schemas.openxmlformats.org/spreadsheetml/2006/main" count="116" uniqueCount="106">
  <si>
    <t>FHA COVID-19 RECOVERY ANALYSIS</t>
  </si>
  <si>
    <t>MORTGAGE INFORMATION</t>
  </si>
  <si>
    <t>Advance Loan Modification (ALM)</t>
  </si>
  <si>
    <t>Pre-Waterfall Step</t>
  </si>
  <si>
    <t>Loan Terms</t>
  </si>
  <si>
    <t>Capitalized UPB</t>
  </si>
  <si>
    <t>Loan Type</t>
  </si>
  <si>
    <t>Fixed Rate</t>
  </si>
  <si>
    <t>New Term</t>
  </si>
  <si>
    <t>Rate</t>
  </si>
  <si>
    <t>Original Principal</t>
  </si>
  <si>
    <t>P&amp;I Payment</t>
  </si>
  <si>
    <t>Term (in months)</t>
  </si>
  <si>
    <t>% Reduction</t>
  </si>
  <si>
    <t>Current Interest Rate</t>
  </si>
  <si>
    <t>Date of First Payment</t>
  </si>
  <si>
    <t>Monthly Property Taxes</t>
  </si>
  <si>
    <t>COVID-19 RECOVERY WATERFALL</t>
  </si>
  <si>
    <t>Monthly Homeowner's Insurance</t>
  </si>
  <si>
    <t>Monthly Association Fees</t>
  </si>
  <si>
    <t>COVID-19 Recovery Standalone Partial Claim</t>
  </si>
  <si>
    <t>MIP</t>
  </si>
  <si>
    <t>Known Reinstatement Amount?</t>
  </si>
  <si>
    <t>No</t>
  </si>
  <si>
    <t>Principal &amp; Interest</t>
  </si>
  <si>
    <t>PITIA</t>
  </si>
  <si>
    <t>Available Partial Claim</t>
  </si>
  <si>
    <t>Arrears and Unpaid Principal Balance</t>
  </si>
  <si>
    <t>UPB Information:</t>
  </si>
  <si>
    <t>Only Default Date</t>
  </si>
  <si>
    <t>COVID-19 Recovery Modification</t>
  </si>
  <si>
    <t>Default Date</t>
  </si>
  <si>
    <t>Evaluation</t>
  </si>
  <si>
    <t>Step 1:</t>
  </si>
  <si>
    <t>Calculate Available Partial Claim</t>
  </si>
  <si>
    <t>Step 2:</t>
  </si>
  <si>
    <t>Calculate Accured Arrears</t>
  </si>
  <si>
    <t>Step 3:</t>
  </si>
  <si>
    <t>Apply Partial Claim</t>
  </si>
  <si>
    <t>Resulting Balance</t>
  </si>
  <si>
    <t>Target P&amp;I Payment  (25% Reduction)</t>
  </si>
  <si>
    <t>Step 4:</t>
  </si>
  <si>
    <t>Deferment Required to Meet Target</t>
  </si>
  <si>
    <t>Partial Claim Available for Further Deferment</t>
  </si>
  <si>
    <t>Step 5:</t>
  </si>
  <si>
    <t>Market Interest Rate</t>
  </si>
  <si>
    <t>Step 6:</t>
  </si>
  <si>
    <t>Market Rate (rounded to nearest 1/8)</t>
  </si>
  <si>
    <t>Resulting Further Deferment</t>
  </si>
  <si>
    <t>Previous Partial Claims</t>
  </si>
  <si>
    <t>Result</t>
  </si>
  <si>
    <t>Amount of Any Previous Partial Claims</t>
  </si>
  <si>
    <t>Partial Claim</t>
  </si>
  <si>
    <t>Amortizing Balance</t>
  </si>
  <si>
    <t>Term</t>
  </si>
  <si>
    <t>Principal and Interest Payment</t>
  </si>
  <si>
    <t>PITIA Payment</t>
  </si>
  <si>
    <t>Mobilization for Justice, Inc.'s FHA COVID-19 Waterfall</t>
  </si>
  <si>
    <t>Year of Mortgage:</t>
  </si>
  <si>
    <t>Present</t>
  </si>
  <si>
    <t>MIP RATE</t>
  </si>
  <si>
    <t>Month #</t>
  </si>
  <si>
    <t>Principal</t>
  </si>
  <si>
    <t>Average Principal</t>
  </si>
  <si>
    <t>Upfront MIP</t>
  </si>
  <si>
    <t>Annual MIP</t>
  </si>
  <si>
    <t>In effect?</t>
  </si>
  <si>
    <t>Monthly MIP</t>
  </si>
  <si>
    <t>Upfront MIP Financed</t>
  </si>
  <si>
    <t>Purchase LTV</t>
  </si>
  <si>
    <t>Current LTV</t>
  </si>
  <si>
    <t>Annual MIP Rate</t>
  </si>
  <si>
    <t>Upfront MIP Rate</t>
  </si>
  <si>
    <t>FHA WORKOUT TERMS</t>
  </si>
  <si>
    <t>Current with FAQ for ML 2013-32</t>
  </si>
  <si>
    <t>MFY Legal Services, Inc.'s Proprietary FHA Waterfall Worksheet</t>
  </si>
  <si>
    <t>Step Four</t>
  </si>
  <si>
    <t>OUTCOME MATRIX</t>
  </si>
  <si>
    <t>Step Five</t>
  </si>
  <si>
    <t>Forbearance</t>
  </si>
  <si>
    <t>Traditional Mod</t>
  </si>
  <si>
    <t>Stand Alone PC</t>
  </si>
  <si>
    <t>Stand Alone Mod</t>
  </si>
  <si>
    <t>Mod with PC</t>
  </si>
  <si>
    <t>Mod with Increased Payment</t>
  </si>
  <si>
    <t>No Mod</t>
  </si>
  <si>
    <t>Step Six</t>
  </si>
  <si>
    <t>Do SAHM Analysis?</t>
  </si>
  <si>
    <t>Message</t>
  </si>
  <si>
    <t>Six Month Forbearance</t>
  </si>
  <si>
    <t>FHA Traditional Loan Modification</t>
  </si>
  <si>
    <t>Stand Alone Partial Claim</t>
  </si>
  <si>
    <t>Stand Alone FHA-HAMP Modification</t>
  </si>
  <si>
    <t>FHA-HAMP Modification with Partial Claim</t>
  </si>
  <si>
    <t>Not Eligible: DTI Exceeds 40%</t>
  </si>
  <si>
    <t>Do MWPC Analysis?</t>
  </si>
  <si>
    <t>Do MWIP Analysis?</t>
  </si>
  <si>
    <t>P&amp;I</t>
  </si>
  <si>
    <t>Int Bear Princ.</t>
  </si>
  <si>
    <t>Get 6 mo forbearance</t>
  </si>
  <si>
    <t>Get traditional mod</t>
  </si>
  <si>
    <t>Get SAPC</t>
  </si>
  <si>
    <t>Get SAHM</t>
  </si>
  <si>
    <t>Get mod w/ PC</t>
  </si>
  <si>
    <t>Get mod w/ increased pmt</t>
  </si>
  <si>
    <t>Determine Data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</si>
</sst>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2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i/>
      <sz val="10"/>
      <name val="Arial"/>
      <family val="2"/>
    </font>
    <font>
      <u/>
      <sz val="10"/>
      <color indexed="12"/>
      <name val="Verdana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b/>
      <u/>
      <sz val="12"/>
      <name val="Times New Roman"/>
      <family val="1"/>
    </font>
    <font>
      <i/>
      <sz val="8"/>
      <name val="Arial"/>
      <family val="2"/>
    </font>
    <font>
      <b/>
      <sz val="12"/>
      <name val="Ariel"/>
    </font>
    <font>
      <b/>
      <sz val="14"/>
      <color theme="0"/>
      <name val="Times New Roman"/>
      <family val="1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u/>
      <sz val="10"/>
      <color theme="11"/>
      <name val="Arial"/>
      <family val="2"/>
    </font>
    <font>
      <i/>
      <sz val="9"/>
      <name val="Times New Roman"/>
      <family val="1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7A7A7"/>
        <bgColor indexed="64"/>
      </patternFill>
    </fill>
    <fill>
      <patternFill patternType="solid">
        <fgColor rgb="FFCC99FF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0" borderId="0"/>
  </cellStyleXfs>
  <cellXfs count="106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0" xfId="0" applyFont="1"/>
    <xf numFmtId="0" fontId="0" fillId="0" borderId="5" xfId="0" applyBorder="1"/>
    <xf numFmtId="0" fontId="5" fillId="0" borderId="0" xfId="0" applyFont="1"/>
    <xf numFmtId="43" fontId="1" fillId="0" borderId="0" xfId="1" applyFill="1" applyBorder="1" applyAlignment="1">
      <alignment horizontal="right"/>
    </xf>
    <xf numFmtId="0" fontId="1" fillId="0" borderId="0" xfId="0" applyFont="1"/>
    <xf numFmtId="0" fontId="9" fillId="5" borderId="0" xfId="0" applyFont="1" applyFill="1" applyAlignment="1">
      <alignment horizontal="center"/>
    </xf>
    <xf numFmtId="44" fontId="1" fillId="4" borderId="6" xfId="2" applyFill="1" applyBorder="1" applyAlignment="1" applyProtection="1">
      <protection locked="0"/>
    </xf>
    <xf numFmtId="164" fontId="1" fillId="4" borderId="6" xfId="1" applyNumberFormat="1" applyFill="1" applyBorder="1" applyAlignment="1" applyProtection="1">
      <alignment horizontal="right"/>
      <protection locked="0"/>
    </xf>
    <xf numFmtId="44" fontId="1" fillId="3" borderId="6" xfId="2" applyFill="1" applyBorder="1" applyAlignment="1" applyProtection="1">
      <alignment horizontal="left"/>
      <protection locked="0"/>
    </xf>
    <xf numFmtId="0" fontId="8" fillId="0" borderId="0" xfId="0" applyFont="1"/>
    <xf numFmtId="0" fontId="0" fillId="0" borderId="7" xfId="0" applyBorder="1"/>
    <xf numFmtId="44" fontId="15" fillId="0" borderId="0" xfId="0" applyNumberFormat="1" applyFont="1"/>
    <xf numFmtId="0" fontId="0" fillId="0" borderId="0" xfId="0" applyProtection="1">
      <protection locked="0"/>
    </xf>
    <xf numFmtId="165" fontId="1" fillId="4" borderId="6" xfId="4" applyNumberFormat="1" applyFill="1" applyBorder="1" applyAlignment="1" applyProtection="1">
      <alignment horizontal="right"/>
      <protection locked="0"/>
    </xf>
    <xf numFmtId="44" fontId="0" fillId="0" borderId="0" xfId="2" applyFont="1"/>
    <xf numFmtId="44" fontId="0" fillId="0" borderId="0" xfId="0" applyNumberFormat="1"/>
    <xf numFmtId="0" fontId="0" fillId="0" borderId="0" xfId="0" applyAlignment="1">
      <alignment horizontal="right"/>
    </xf>
    <xf numFmtId="0" fontId="0" fillId="5" borderId="0" xfId="0" applyFill="1"/>
    <xf numFmtId="0" fontId="0" fillId="5" borderId="3" xfId="0" applyFill="1" applyBorder="1"/>
    <xf numFmtId="0" fontId="0" fillId="5" borderId="2" xfId="0" applyFill="1" applyBorder="1"/>
    <xf numFmtId="0" fontId="0" fillId="5" borderId="5" xfId="0" applyFill="1" applyBorder="1"/>
    <xf numFmtId="0" fontId="14" fillId="5" borderId="3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6" fillId="4" borderId="6" xfId="0" applyFont="1" applyFill="1" applyBorder="1" applyAlignment="1" applyProtection="1">
      <alignment horizontal="right" vertical="center"/>
      <protection locked="0"/>
    </xf>
    <xf numFmtId="0" fontId="15" fillId="5" borderId="2" xfId="0" applyFont="1" applyFill="1" applyBorder="1"/>
    <xf numFmtId="44" fontId="16" fillId="4" borderId="6" xfId="2" applyFont="1" applyFill="1" applyBorder="1" applyAlignment="1" applyProtection="1">
      <alignment horizontal="left" vertical="center"/>
      <protection locked="0"/>
    </xf>
    <xf numFmtId="44" fontId="1" fillId="4" borderId="6" xfId="1" applyNumberFormat="1" applyFill="1" applyBorder="1" applyProtection="1">
      <protection locked="0"/>
    </xf>
    <xf numFmtId="0" fontId="0" fillId="0" borderId="14" xfId="0" applyBorder="1"/>
    <xf numFmtId="0" fontId="11" fillId="0" borderId="7" xfId="0" applyFont="1" applyBorder="1" applyAlignment="1">
      <alignment horizontal="center"/>
    </xf>
    <xf numFmtId="8" fontId="0" fillId="0" borderId="0" xfId="0" applyNumberFormat="1"/>
    <xf numFmtId="10" fontId="1" fillId="3" borderId="6" xfId="4" applyNumberFormat="1" applyFont="1" applyFill="1" applyBorder="1" applyProtection="1">
      <protection locked="0"/>
    </xf>
    <xf numFmtId="165" fontId="3" fillId="2" borderId="6" xfId="0" applyNumberFormat="1" applyFont="1" applyFill="1" applyBorder="1"/>
    <xf numFmtId="0" fontId="19" fillId="0" borderId="0" xfId="0" applyFont="1"/>
    <xf numFmtId="0" fontId="6" fillId="0" borderId="0" xfId="0" applyFont="1" applyAlignment="1">
      <alignment horizontal="right"/>
    </xf>
    <xf numFmtId="0" fontId="2" fillId="0" borderId="5" xfId="0" applyFont="1" applyBorder="1"/>
    <xf numFmtId="0" fontId="12" fillId="0" borderId="12" xfId="0" applyFont="1" applyBorder="1" applyAlignment="1">
      <alignment horizontal="right"/>
    </xf>
    <xf numFmtId="0" fontId="12" fillId="0" borderId="4" xfId="0" applyFont="1" applyBorder="1"/>
    <xf numFmtId="9" fontId="0" fillId="0" borderId="0" xfId="4" applyFont="1"/>
    <xf numFmtId="0" fontId="1" fillId="0" borderId="0" xfId="9"/>
    <xf numFmtId="0" fontId="1" fillId="0" borderId="3" xfId="9" applyBorder="1"/>
    <xf numFmtId="0" fontId="3" fillId="0" borderId="0" xfId="9" applyFont="1"/>
    <xf numFmtId="0" fontId="15" fillId="5" borderId="2" xfId="9" applyFont="1" applyFill="1" applyBorder="1"/>
    <xf numFmtId="0" fontId="1" fillId="0" borderId="0" xfId="10"/>
    <xf numFmtId="0" fontId="3" fillId="0" borderId="0" xfId="10" applyFont="1"/>
    <xf numFmtId="14" fontId="1" fillId="3" borderId="6" xfId="1" applyNumberFormat="1" applyFill="1" applyBorder="1" applyProtection="1">
      <protection locked="0"/>
    </xf>
    <xf numFmtId="1" fontId="1" fillId="2" borderId="6" xfId="1" applyNumberFormat="1" applyFill="1" applyBorder="1"/>
    <xf numFmtId="44" fontId="1" fillId="3" borderId="6" xfId="2" applyFill="1" applyBorder="1" applyAlignment="1" applyProtection="1">
      <protection locked="0"/>
    </xf>
    <xf numFmtId="44" fontId="1" fillId="2" borderId="6" xfId="2" applyFill="1" applyBorder="1" applyAlignment="1"/>
    <xf numFmtId="0" fontId="1" fillId="4" borderId="6" xfId="10" applyFill="1" applyBorder="1" applyAlignment="1" applyProtection="1">
      <alignment horizontal="right"/>
      <protection locked="0"/>
    </xf>
    <xf numFmtId="14" fontId="1" fillId="2" borderId="13" xfId="1" applyNumberFormat="1" applyFill="1" applyBorder="1"/>
    <xf numFmtId="44" fontId="0" fillId="4" borderId="6" xfId="2" applyFont="1" applyFill="1" applyBorder="1" applyAlignment="1" applyProtection="1">
      <alignment horizontal="left"/>
      <protection locked="0"/>
    </xf>
    <xf numFmtId="44" fontId="0" fillId="8" borderId="11" xfId="2" applyFont="1" applyFill="1" applyBorder="1" applyAlignment="1" applyProtection="1">
      <alignment horizontal="right"/>
    </xf>
    <xf numFmtId="8" fontId="0" fillId="0" borderId="0" xfId="2" applyNumberFormat="1" applyFont="1"/>
    <xf numFmtId="10" fontId="0" fillId="0" borderId="0" xfId="4" applyNumberFormat="1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0" fontId="0" fillId="0" borderId="0" xfId="0" applyNumberFormat="1" applyAlignment="1">
      <alignment horizontal="right"/>
    </xf>
    <xf numFmtId="9" fontId="0" fillId="0" borderId="0" xfId="0" applyNumberFormat="1"/>
    <xf numFmtId="10" fontId="0" fillId="0" borderId="0" xfId="0" applyNumberFormat="1"/>
    <xf numFmtId="164" fontId="0" fillId="0" borderId="0" xfId="1" applyNumberFormat="1" applyFont="1"/>
    <xf numFmtId="44" fontId="1" fillId="4" borderId="6" xfId="2" applyFont="1" applyFill="1" applyBorder="1" applyProtection="1">
      <protection locked="0"/>
    </xf>
    <xf numFmtId="44" fontId="1" fillId="0" borderId="0" xfId="0" applyNumberFormat="1" applyFont="1"/>
    <xf numFmtId="9" fontId="1" fillId="0" borderId="0" xfId="10" applyNumberFormat="1"/>
    <xf numFmtId="0" fontId="0" fillId="0" borderId="8" xfId="0" applyBorder="1"/>
    <xf numFmtId="0" fontId="0" fillId="0" borderId="9" xfId="0" applyBorder="1"/>
    <xf numFmtId="0" fontId="4" fillId="0" borderId="9" xfId="0" applyFont="1" applyBorder="1" applyAlignment="1">
      <alignment horizontal="center"/>
    </xf>
    <xf numFmtId="0" fontId="0" fillId="0" borderId="10" xfId="0" applyBorder="1"/>
    <xf numFmtId="0" fontId="17" fillId="0" borderId="0" xfId="0" applyFont="1" applyAlignment="1">
      <alignment horizontal="center"/>
    </xf>
    <xf numFmtId="14" fontId="0" fillId="0" borderId="0" xfId="0" applyNumberFormat="1"/>
    <xf numFmtId="0" fontId="0" fillId="0" borderId="4" xfId="0" applyBorder="1"/>
    <xf numFmtId="44" fontId="0" fillId="6" borderId="6" xfId="0" applyNumberFormat="1" applyFill="1" applyBorder="1"/>
    <xf numFmtId="0" fontId="0" fillId="6" borderId="6" xfId="0" applyFill="1" applyBorder="1"/>
    <xf numFmtId="165" fontId="0" fillId="6" borderId="6" xfId="4" applyNumberFormat="1" applyFont="1" applyFill="1" applyBorder="1"/>
    <xf numFmtId="44" fontId="0" fillId="6" borderId="6" xfId="2" applyFont="1" applyFill="1" applyBorder="1"/>
    <xf numFmtId="10" fontId="0" fillId="6" borderId="6" xfId="4" applyNumberFormat="1" applyFont="1" applyFill="1" applyBorder="1"/>
    <xf numFmtId="0" fontId="6" fillId="0" borderId="0" xfId="0" applyFont="1" applyAlignment="1">
      <alignment horizontal="center"/>
    </xf>
    <xf numFmtId="0" fontId="21" fillId="0" borderId="12" xfId="0" applyFont="1" applyBorder="1" applyAlignment="1">
      <alignment horizontal="right"/>
    </xf>
    <xf numFmtId="0" fontId="22" fillId="0" borderId="0" xfId="0" applyFont="1"/>
    <xf numFmtId="44" fontId="0" fillId="8" borderId="6" xfId="2" applyFont="1" applyFill="1" applyBorder="1"/>
    <xf numFmtId="44" fontId="0" fillId="8" borderId="6" xfId="0" applyNumberFormat="1" applyFill="1" applyBorder="1"/>
    <xf numFmtId="165" fontId="0" fillId="8" borderId="6" xfId="4" applyNumberFormat="1" applyFont="1" applyFill="1" applyBorder="1"/>
    <xf numFmtId="0" fontId="0" fillId="8" borderId="6" xfId="0" applyFill="1" applyBorder="1"/>
    <xf numFmtId="0" fontId="8" fillId="0" borderId="0" xfId="0" applyFont="1" applyAlignment="1">
      <alignment horizontal="center"/>
    </xf>
    <xf numFmtId="0" fontId="10" fillId="0" borderId="0" xfId="0" applyFont="1"/>
    <xf numFmtId="44" fontId="0" fillId="4" borderId="6" xfId="2" applyFont="1" applyFill="1" applyBorder="1"/>
    <xf numFmtId="0" fontId="15" fillId="0" borderId="0" xfId="0" applyFont="1"/>
    <xf numFmtId="0" fontId="0" fillId="4" borderId="6" xfId="0" applyFill="1" applyBorder="1" applyAlignment="1">
      <alignment horizontal="right"/>
    </xf>
    <xf numFmtId="44" fontId="1" fillId="4" borderId="6" xfId="2" applyFill="1" applyBorder="1" applyAlignment="1" applyProtection="1">
      <alignment horizontal="left"/>
      <protection locked="0"/>
    </xf>
    <xf numFmtId="44" fontId="3" fillId="6" borderId="6" xfId="2" applyFont="1" applyFill="1" applyBorder="1" applyAlignment="1" applyProtection="1">
      <alignment horizontal="left"/>
    </xf>
    <xf numFmtId="0" fontId="14" fillId="7" borderId="8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0" borderId="0" xfId="3" applyBorder="1" applyAlignment="1" applyProtection="1">
      <alignment horizontal="left"/>
    </xf>
    <xf numFmtId="0" fontId="20" fillId="0" borderId="0" xfId="3" applyFont="1" applyBorder="1" applyAlignment="1" applyProtection="1">
      <alignment horizontal="left"/>
    </xf>
    <xf numFmtId="0" fontId="20" fillId="0" borderId="2" xfId="3" applyFont="1" applyBorder="1" applyAlignment="1" applyProtection="1">
      <alignment horizontal="left"/>
    </xf>
    <xf numFmtId="0" fontId="8" fillId="0" borderId="0" xfId="10" applyFont="1" applyAlignment="1">
      <alignment horizontal="left"/>
    </xf>
    <xf numFmtId="0" fontId="1" fillId="0" borderId="0" xfId="0" applyFont="1" applyAlignment="1">
      <alignment horizontal="center"/>
    </xf>
  </cellXfs>
  <cellStyles count="11">
    <cellStyle name="Comma" xfId="1" builtinId="3"/>
    <cellStyle name="Currency" xfId="2" builtinId="4"/>
    <cellStyle name="Followed Hyperlink" xfId="7" builtinId="9" hidden="1"/>
    <cellStyle name="Followed Hyperlink" xfId="8" builtinId="9" hidden="1"/>
    <cellStyle name="Followed Hyperlink" xfId="6" builtinId="9" hidden="1"/>
    <cellStyle name="Followed Hyperlink" xfId="5" builtinId="9" hidden="1"/>
    <cellStyle name="Hyperlink" xfId="3" builtinId="8"/>
    <cellStyle name="Normal" xfId="0" builtinId="0"/>
    <cellStyle name="Normal 2" xfId="10" xr:uid="{00000000-0005-0000-0000-000008000000}"/>
    <cellStyle name="Normal 3" xfId="9" xr:uid="{00000000-0005-0000-0000-000009000000}"/>
    <cellStyle name="Percent" xfId="4" builtinId="5"/>
  </cellStyles>
  <dxfs count="19"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99FF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b val="0"/>
        <i/>
      </font>
    </dxf>
    <dxf>
      <font>
        <b val="0"/>
        <i/>
      </font>
    </dxf>
    <dxf>
      <font>
        <b/>
        <i val="0"/>
        <color theme="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99"/>
      <color rgb="FFFFFFCC"/>
      <color rgb="FFCC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CFFFF"/>
    <pageSetUpPr autoPageBreaks="0"/>
  </sheetPr>
  <dimension ref="A1:S47"/>
  <sheetViews>
    <sheetView showGridLines="0" tabSelected="1" zoomScaleNormal="100" zoomScalePageLayoutView="80" workbookViewId="0">
      <selection activeCell="G39" sqref="G39"/>
    </sheetView>
  </sheetViews>
  <sheetFormatPr defaultColWidth="4.7109375" defaultRowHeight="12.6"/>
  <cols>
    <col min="1" max="2" width="3.85546875" customWidth="1"/>
    <col min="3" max="3" width="7" customWidth="1"/>
    <col min="4" max="4" width="21.85546875" customWidth="1"/>
    <col min="5" max="5" width="15.85546875" customWidth="1"/>
    <col min="6" max="6" width="3.5703125" customWidth="1"/>
    <col min="7" max="7" width="15.28515625" customWidth="1"/>
    <col min="8" max="8" width="5.28515625" customWidth="1"/>
    <col min="9" max="9" width="7.140625" customWidth="1"/>
    <col min="10" max="10" width="8.140625" customWidth="1"/>
    <col min="11" max="11" width="9.42578125" customWidth="1"/>
    <col min="12" max="12" width="23.42578125" customWidth="1"/>
    <col min="13" max="13" width="22.140625" customWidth="1"/>
    <col min="14" max="14" width="5.140625" customWidth="1"/>
    <col min="15" max="15" width="3" customWidth="1"/>
    <col min="16" max="16" width="9.140625" customWidth="1"/>
    <col min="17" max="17" width="5.85546875" bestFit="1" customWidth="1"/>
    <col min="18" max="18" width="17.7109375" customWidth="1"/>
    <col min="19" max="19" width="12.85546875" customWidth="1"/>
  </cols>
  <sheetData>
    <row r="1" spans="1:15" ht="12.7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</row>
    <row r="2" spans="1:15" ht="9.75" customHeight="1">
      <c r="A2" s="33"/>
      <c r="B2" s="15"/>
      <c r="C2" s="34"/>
      <c r="D2" s="34"/>
      <c r="E2" s="34"/>
      <c r="F2" s="15"/>
      <c r="G2" s="2"/>
      <c r="H2" s="33"/>
      <c r="I2" s="15"/>
      <c r="J2" s="15"/>
      <c r="K2" s="15"/>
      <c r="L2" s="15"/>
      <c r="M2" s="15"/>
      <c r="N2" s="15"/>
      <c r="O2" s="2"/>
    </row>
    <row r="3" spans="1:15" ht="17.25" customHeight="1">
      <c r="A3" s="98" t="s">
        <v>1</v>
      </c>
      <c r="B3" s="99"/>
      <c r="C3" s="99"/>
      <c r="D3" s="99"/>
      <c r="E3" s="99"/>
      <c r="F3" s="99"/>
      <c r="G3" s="100"/>
      <c r="H3" s="69"/>
      <c r="I3" s="70"/>
      <c r="J3" s="70"/>
      <c r="K3" s="70"/>
      <c r="L3" s="71" t="s">
        <v>2</v>
      </c>
      <c r="M3" s="70"/>
      <c r="N3" s="70"/>
      <c r="O3" s="72"/>
    </row>
    <row r="4" spans="1:15" ht="12.95">
      <c r="A4" s="33"/>
      <c r="B4" s="5"/>
      <c r="E4" s="10"/>
      <c r="F4" s="7"/>
      <c r="G4" s="3"/>
      <c r="H4" s="4"/>
      <c r="L4" s="81" t="s">
        <v>3</v>
      </c>
      <c r="O4" s="3"/>
    </row>
    <row r="5" spans="1:15" ht="12.75" customHeight="1">
      <c r="A5" s="4"/>
      <c r="B5" s="14" t="s">
        <v>4</v>
      </c>
      <c r="C5" s="5"/>
      <c r="F5" s="7"/>
      <c r="G5" s="3"/>
      <c r="H5" s="4"/>
      <c r="J5" t="s">
        <v>5</v>
      </c>
      <c r="M5" s="76">
        <f ca="1">DUPB+E33</f>
        <v>276142.49728770542</v>
      </c>
      <c r="O5" s="3"/>
    </row>
    <row r="6" spans="1:15" ht="12.95">
      <c r="A6" s="4"/>
      <c r="B6" s="9" t="s">
        <v>6</v>
      </c>
      <c r="E6" s="29" t="s">
        <v>7</v>
      </c>
      <c r="F6" s="7"/>
      <c r="G6" s="30"/>
      <c r="H6" s="4"/>
      <c r="J6" t="s">
        <v>8</v>
      </c>
      <c r="M6" s="77">
        <v>360</v>
      </c>
      <c r="O6" s="3"/>
    </row>
    <row r="7" spans="1:15" ht="12.95">
      <c r="A7" s="4"/>
      <c r="B7" s="9" t="str">
        <f>IF(E6="ARM","Current Monthly P&amp;I Payment","")</f>
        <v/>
      </c>
      <c r="E7" s="31">
        <v>2147.69</v>
      </c>
      <c r="F7" s="7"/>
      <c r="G7" s="30"/>
      <c r="H7" s="4"/>
      <c r="J7" t="s">
        <v>9</v>
      </c>
      <c r="M7" s="78">
        <f>Market</f>
        <v>6.6250000000000003E-2</v>
      </c>
      <c r="O7" s="3"/>
    </row>
    <row r="8" spans="1:15" ht="12.95">
      <c r="A8" s="4"/>
      <c r="B8" s="9" t="s">
        <v>10</v>
      </c>
      <c r="E8" s="11">
        <v>290000</v>
      </c>
      <c r="F8" s="7"/>
      <c r="G8" s="3"/>
      <c r="H8" s="4"/>
      <c r="J8" t="s">
        <v>11</v>
      </c>
      <c r="M8" s="79">
        <f ca="1">PMT(Market/12,M6,-M5)</f>
        <v>1768.1706783197455</v>
      </c>
      <c r="O8" s="3"/>
    </row>
    <row r="9" spans="1:15" ht="12.95">
      <c r="A9" s="4"/>
      <c r="B9" s="9" t="s">
        <v>12</v>
      </c>
      <c r="E9" s="12">
        <v>360</v>
      </c>
      <c r="F9" s="7"/>
      <c r="G9" s="3"/>
      <c r="H9" s="4"/>
      <c r="J9" t="s">
        <v>13</v>
      </c>
      <c r="M9" s="80">
        <f ca="1">(E16-M8)/E16</f>
        <v>-0.27711456419167224</v>
      </c>
      <c r="O9" s="3"/>
    </row>
    <row r="10" spans="1:15" ht="12.95">
      <c r="A10" s="4"/>
      <c r="B10" s="9" t="s">
        <v>14</v>
      </c>
      <c r="E10" s="18">
        <v>0.04</v>
      </c>
      <c r="F10" s="7"/>
      <c r="G10" s="3"/>
      <c r="H10" s="4"/>
      <c r="I10" s="1" t="str">
        <f ca="1">IF(M9&gt;=0.25,"ALM Eligible","Not ALM Eligible")</f>
        <v>Not ALM Eligible</v>
      </c>
      <c r="O10" s="3"/>
    </row>
    <row r="11" spans="1:15">
      <c r="A11" s="4"/>
      <c r="B11" s="9" t="s">
        <v>15</v>
      </c>
      <c r="E11" s="50">
        <v>41395</v>
      </c>
      <c r="G11" s="3"/>
      <c r="H11" s="4"/>
      <c r="O11" s="3"/>
    </row>
    <row r="12" spans="1:15" ht="15.6">
      <c r="A12" s="4"/>
      <c r="B12" s="9" t="s">
        <v>16</v>
      </c>
      <c r="E12" s="13">
        <v>363.36</v>
      </c>
      <c r="G12" s="3"/>
      <c r="H12" s="69"/>
      <c r="I12" s="70"/>
      <c r="J12" s="70"/>
      <c r="K12" s="70"/>
      <c r="L12" s="71" t="s">
        <v>17</v>
      </c>
      <c r="M12" s="70"/>
      <c r="N12" s="70"/>
      <c r="O12" s="72"/>
    </row>
    <row r="13" spans="1:15">
      <c r="A13" s="4"/>
      <c r="B13" s="9" t="s">
        <v>18</v>
      </c>
      <c r="E13" s="13">
        <v>100</v>
      </c>
      <c r="G13" s="3"/>
      <c r="H13" s="33"/>
      <c r="I13" s="15"/>
      <c r="J13" s="15"/>
      <c r="K13" s="15"/>
      <c r="L13" s="15"/>
      <c r="M13" s="15"/>
      <c r="N13" s="15"/>
      <c r="O13" s="2"/>
    </row>
    <row r="14" spans="1:15" ht="14.1">
      <c r="A14" s="4"/>
      <c r="B14" s="9" t="s">
        <v>19</v>
      </c>
      <c r="E14" s="13">
        <v>0</v>
      </c>
      <c r="G14" s="3"/>
      <c r="H14" s="4"/>
      <c r="L14" s="73" t="s">
        <v>20</v>
      </c>
      <c r="O14" s="3"/>
    </row>
    <row r="15" spans="1:15" ht="14.1">
      <c r="A15" s="4"/>
      <c r="B15" s="9" t="s">
        <v>21</v>
      </c>
      <c r="E15" s="93">
        <v>0</v>
      </c>
      <c r="G15" s="3"/>
      <c r="H15" s="4"/>
      <c r="J15" s="9" t="s">
        <v>22</v>
      </c>
      <c r="L15" s="73"/>
      <c r="M15" s="92" t="s">
        <v>23</v>
      </c>
      <c r="O15" s="3"/>
    </row>
    <row r="16" spans="1:15" ht="12.95">
      <c r="A16" s="4"/>
      <c r="B16" s="9" t="s">
        <v>24</v>
      </c>
      <c r="E16" s="94">
        <f>IF(E6="ARM",E7,-PMT(rate/12,E9,E8))</f>
        <v>1384.5043568498327</v>
      </c>
      <c r="G16" s="3"/>
      <c r="H16" s="4"/>
      <c r="J16" s="9" t="str">
        <f>IF(M15="Yes","Enter Reinstatement"," ")</f>
        <v xml:space="preserve"> </v>
      </c>
      <c r="L16" s="60"/>
      <c r="M16" s="90"/>
      <c r="O16" s="3"/>
    </row>
    <row r="17" spans="1:19" ht="12.95">
      <c r="A17" s="4"/>
      <c r="B17" s="9" t="s">
        <v>25</v>
      </c>
      <c r="E17" s="94">
        <f>SUM(E12:E16)</f>
        <v>1847.8643568498328</v>
      </c>
      <c r="F17" s="7"/>
      <c r="G17" s="3"/>
      <c r="H17" s="4"/>
      <c r="J17" t="str">
        <f>IF(M15="Yes"," ","Estimated Reinstatement Amount")</f>
        <v>Estimated Reinstatement Amount</v>
      </c>
      <c r="M17" s="76">
        <f ca="1">ROUND(E25*E17+E32,2)</f>
        <v>47500.88</v>
      </c>
      <c r="O17" s="3"/>
    </row>
    <row r="18" spans="1:19">
      <c r="A18" s="4"/>
      <c r="E18" s="17"/>
      <c r="G18" s="3"/>
      <c r="H18" s="4"/>
      <c r="J18" t="s">
        <v>26</v>
      </c>
      <c r="M18" s="79">
        <f>E42</f>
        <v>72499.872986311631</v>
      </c>
      <c r="O18" s="3"/>
    </row>
    <row r="19" spans="1:19" ht="12.95">
      <c r="A19" s="4"/>
      <c r="B19" s="104" t="s">
        <v>27</v>
      </c>
      <c r="C19" s="104"/>
      <c r="D19" s="104"/>
      <c r="E19" s="104"/>
      <c r="G19" s="3"/>
      <c r="H19" s="4"/>
      <c r="M19" s="91"/>
      <c r="O19" s="3"/>
    </row>
    <row r="20" spans="1:19">
      <c r="A20" s="4"/>
      <c r="B20" s="48" t="s">
        <v>28</v>
      </c>
      <c r="C20" s="48"/>
      <c r="D20" s="48"/>
      <c r="E20" s="54" t="s">
        <v>29</v>
      </c>
      <c r="G20" s="3"/>
      <c r="H20" s="4"/>
      <c r="I20" s="83" t="str">
        <f ca="1">IF(M18&gt;=Reinstate,_xlfn.CONCAT("Eligible for Standalone Partial Claim of ",TEXT('Data Validation'!H17,"$#,##0.00")," if Current Payment Is Affordable"),"Not Eligible for Standalone Partial Claim")</f>
        <v>Eligible for Standalone Partial Claim of $47,500.88 if Current Payment Is Affordable</v>
      </c>
      <c r="O20" s="3"/>
    </row>
    <row r="21" spans="1:19">
      <c r="A21" s="4"/>
      <c r="B21" s="48" t="str">
        <f>IF(infotype=1,"Estimate Arrears and UPB at Default:","Enter UPB at Default:")</f>
        <v>Estimate Arrears and UPB at Default:</v>
      </c>
      <c r="C21" s="48"/>
      <c r="D21" s="48"/>
      <c r="E21" s="56">
        <v>288005.88</v>
      </c>
      <c r="F21" s="16">
        <f>E17-E16</f>
        <v>463.36000000000013</v>
      </c>
      <c r="G21" s="3"/>
      <c r="H21" s="4"/>
      <c r="O21" s="3"/>
    </row>
    <row r="22" spans="1:19" ht="14.1">
      <c r="A22" s="4"/>
      <c r="B22" s="48" t="str">
        <f>IF(infotype=2,"Estimate Arrears:",IF(infotype=3,"Enter Amount of Arrears:",""))</f>
        <v/>
      </c>
      <c r="C22" s="48"/>
      <c r="D22" s="48"/>
      <c r="E22" s="56">
        <v>100000</v>
      </c>
      <c r="F22" s="1"/>
      <c r="G22" s="3"/>
      <c r="H22" s="4"/>
      <c r="I22" s="74"/>
      <c r="L22" s="73" t="s">
        <v>30</v>
      </c>
      <c r="O22" s="3"/>
    </row>
    <row r="23" spans="1:19" ht="14.1">
      <c r="A23" s="4"/>
      <c r="B23" s="48" t="s">
        <v>31</v>
      </c>
      <c r="C23" s="48"/>
      <c r="D23" s="48"/>
      <c r="E23" s="50">
        <v>44378</v>
      </c>
      <c r="F23" s="1"/>
      <c r="G23" s="3"/>
      <c r="H23" s="4"/>
      <c r="L23" s="73"/>
      <c r="O23" s="3"/>
    </row>
    <row r="24" spans="1:19" ht="12.95">
      <c r="A24" s="45"/>
      <c r="B24" s="48" t="str">
        <f>IF(infotype=3,"","Today's Date")</f>
        <v>Today's Date</v>
      </c>
      <c r="C24" s="48"/>
      <c r="D24" s="48"/>
      <c r="E24" s="55">
        <f ca="1">TODAY()</f>
        <v>45058</v>
      </c>
      <c r="F24" s="46"/>
      <c r="G24" s="47"/>
      <c r="H24" s="4"/>
      <c r="L24" s="88" t="s">
        <v>32</v>
      </c>
      <c r="O24" s="3"/>
    </row>
    <row r="25" spans="1:19" ht="12.95">
      <c r="A25" s="45"/>
      <c r="B25" s="48" t="str">
        <f>IF(infotype=3,"","Total Months in Default")</f>
        <v>Total Months in Default</v>
      </c>
      <c r="C25" s="48"/>
      <c r="D25" s="48"/>
      <c r="E25" s="51">
        <f ca="1">ROUNDUP((DAYS360(E23,E24))/30,0)</f>
        <v>23</v>
      </c>
      <c r="F25" s="46"/>
      <c r="G25" s="47"/>
      <c r="H25" s="4"/>
      <c r="I25" s="1" t="s">
        <v>33</v>
      </c>
      <c r="J25" s="9" t="s">
        <v>34</v>
      </c>
      <c r="M25" s="79">
        <f>M18</f>
        <v>72499.872986311631</v>
      </c>
      <c r="O25" s="3"/>
    </row>
    <row r="26" spans="1:19" ht="12.95">
      <c r="A26" s="45"/>
      <c r="B26" s="48" t="str">
        <f>IF(infotype=3,"",IF(infotype=2,"UPB at Default",IF(infotype=1,"Est UPB at Default",0)))</f>
        <v>Est UPB at Default</v>
      </c>
      <c r="C26" s="48"/>
      <c r="D26" s="48"/>
      <c r="E26" s="53">
        <f>IF(infotype=1,-PV(rate/12,LOANTERM-ROUNDUP(DAYS360(FPAY,DDate)/30,0),E16),E21)</f>
        <v>241666.24328770544</v>
      </c>
      <c r="F26" s="46"/>
      <c r="G26" s="47"/>
      <c r="H26" s="4"/>
      <c r="I26" s="1" t="s">
        <v>35</v>
      </c>
      <c r="J26" s="9" t="s">
        <v>36</v>
      </c>
      <c r="M26" s="79">
        <f ca="1">E33</f>
        <v>34476.254000000001</v>
      </c>
      <c r="O26" s="3"/>
      <c r="R26" s="9"/>
      <c r="S26" s="59"/>
    </row>
    <row r="27" spans="1:19" ht="12.95">
      <c r="A27" s="45"/>
      <c r="B27" s="48" t="str">
        <f>IF(infotype=3,"","Taxes in Arrears")</f>
        <v>Taxes in Arrears</v>
      </c>
      <c r="C27" s="48"/>
      <c r="D27" s="48"/>
      <c r="E27" s="53">
        <f ca="1">E12*E25</f>
        <v>8357.2800000000007</v>
      </c>
      <c r="F27" s="46"/>
      <c r="G27" s="47"/>
      <c r="H27" s="4"/>
      <c r="I27" s="1" t="s">
        <v>37</v>
      </c>
      <c r="J27" s="9" t="s">
        <v>38</v>
      </c>
      <c r="M27" s="79">
        <f ca="1">IF(M25&gt;=M26,M26,M25)</f>
        <v>34476.254000000001</v>
      </c>
      <c r="O27" s="3"/>
      <c r="R27" s="9"/>
    </row>
    <row r="28" spans="1:19">
      <c r="A28" s="45"/>
      <c r="B28" s="48" t="str">
        <f>IF(infotype=3,"","Insurance Arrears")</f>
        <v>Insurance Arrears</v>
      </c>
      <c r="C28" s="48"/>
      <c r="D28" s="48"/>
      <c r="E28" s="53">
        <f ca="1">E13*E25</f>
        <v>2300</v>
      </c>
      <c r="F28" s="44"/>
      <c r="G28" s="47"/>
      <c r="H28" s="4"/>
      <c r="I28" s="89"/>
      <c r="J28" s="9" t="s">
        <v>39</v>
      </c>
      <c r="M28" s="76">
        <f ca="1">M5-M27</f>
        <v>241666.24328770541</v>
      </c>
      <c r="O28" s="3"/>
      <c r="R28" s="9"/>
      <c r="S28" s="35"/>
    </row>
    <row r="29" spans="1:19">
      <c r="A29" s="45"/>
      <c r="B29" s="48" t="str">
        <f>IF(infotype=3,"","Association Fee Arrears")</f>
        <v>Association Fee Arrears</v>
      </c>
      <c r="C29" s="48"/>
      <c r="D29" s="48"/>
      <c r="E29" s="53">
        <f ca="1">E14*E25</f>
        <v>0</v>
      </c>
      <c r="F29" s="44"/>
      <c r="G29" s="47"/>
      <c r="H29" s="4"/>
      <c r="I29" s="89"/>
      <c r="J29" t="str">
        <f>_xlfn.CONCAT("Payment at 360 Months and ",Market*100,"%")</f>
        <v>Payment at 360 Months and 6.625%</v>
      </c>
      <c r="M29" s="79">
        <f ca="1">PMT(Market/12,360,-M28)</f>
        <v>1547.4154449896459</v>
      </c>
      <c r="O29" s="3"/>
      <c r="R29" s="9"/>
      <c r="S29" s="20"/>
    </row>
    <row r="30" spans="1:19">
      <c r="A30" s="45"/>
      <c r="B30" s="48" t="str">
        <f>IF(infotype=3,"","Interest Arrears")</f>
        <v>Interest Arrears</v>
      </c>
      <c r="C30" s="48"/>
      <c r="D30" s="68"/>
      <c r="E30" s="53">
        <f ca="1">E25*ROUND(rate/12*E26,2)+(DAY(E24)-DAY(E23))*ROUND(rate/365*E26,4)</f>
        <v>18818.973999999998</v>
      </c>
      <c r="F30" s="44"/>
      <c r="G30" s="47">
        <v>0</v>
      </c>
      <c r="H30" s="4"/>
      <c r="I30" s="89"/>
      <c r="J30" s="9" t="s">
        <v>40</v>
      </c>
      <c r="M30" s="76">
        <f>E16*0.75</f>
        <v>1038.3782676373744</v>
      </c>
      <c r="O30" s="3"/>
      <c r="R30" s="9"/>
      <c r="S30" s="19"/>
    </row>
    <row r="31" spans="1:19" ht="12.95">
      <c r="A31" s="45"/>
      <c r="B31" s="48" t="str">
        <f>IF(infotype=3,"","MIP Arrears")</f>
        <v>MIP Arrears</v>
      </c>
      <c r="C31" s="48"/>
      <c r="D31" s="68"/>
      <c r="E31" s="53">
        <f ca="1">E15*E25</f>
        <v>0</v>
      </c>
      <c r="F31" s="44"/>
      <c r="G31" s="47"/>
      <c r="H31" s="4"/>
      <c r="I31" s="1" t="s">
        <v>41</v>
      </c>
      <c r="J31" s="9" t="s">
        <v>42</v>
      </c>
      <c r="M31" s="79">
        <f ca="1">IF(M30&gt;=M29,0,M28+PV(Market/12,360,M30))</f>
        <v>79498.43252684013</v>
      </c>
      <c r="O31" s="3"/>
      <c r="R31" s="9"/>
      <c r="S31" s="19"/>
    </row>
    <row r="32" spans="1:19" ht="12.95" thickBot="1">
      <c r="A32" s="45"/>
      <c r="B32" s="48" t="str">
        <f>IF(infotype=3,"","Allowable Fees &amp; Costs")</f>
        <v>Allowable Fees &amp; Costs</v>
      </c>
      <c r="C32" s="48"/>
      <c r="D32" s="48"/>
      <c r="E32" s="52">
        <v>5000</v>
      </c>
      <c r="F32" s="44"/>
      <c r="G32" s="47"/>
      <c r="H32" s="4"/>
      <c r="J32" t="s">
        <v>43</v>
      </c>
      <c r="M32" s="76">
        <f ca="1">M25-M27</f>
        <v>38023.618986311631</v>
      </c>
      <c r="O32" s="3"/>
      <c r="R32" s="9"/>
      <c r="S32" s="19"/>
    </row>
    <row r="33" spans="1:15" ht="13.5" thickBot="1">
      <c r="A33" s="45"/>
      <c r="B33" s="49" t="str">
        <f>IF(infotype=3,"","Total Eligible Arrears")</f>
        <v>Total Eligible Arrears</v>
      </c>
      <c r="C33" s="48"/>
      <c r="D33" s="48"/>
      <c r="E33" s="57">
        <f ca="1">IF(infotype=3,E22,SUM(E27:E32))</f>
        <v>34476.254000000001</v>
      </c>
      <c r="F33" s="44"/>
      <c r="G33" s="47"/>
      <c r="H33" s="4"/>
      <c r="J33" s="9" t="str">
        <f ca="1">IF(OR(M32&gt;=M31,M25=0),"Resulting Further Deferment","")</f>
        <v/>
      </c>
      <c r="M33" s="76">
        <f ca="1">IF(M32&gt;=M31,M31,M32)</f>
        <v>38023.618986311631</v>
      </c>
      <c r="O33" s="3"/>
    </row>
    <row r="34" spans="1:15" ht="12.95">
      <c r="A34" s="45"/>
      <c r="B34" s="1"/>
      <c r="C34" s="5"/>
      <c r="F34" s="44"/>
      <c r="G34" s="47"/>
      <c r="H34" s="4"/>
      <c r="I34" s="1" t="s">
        <v>44</v>
      </c>
      <c r="J34" s="9" t="str">
        <f>_xlfn.CONCAT("Payment at 480 Months and ",(Market+0.5%)*100,"%")</f>
        <v>Payment at 480 Months and 7.125%</v>
      </c>
      <c r="M34" s="79">
        <f ca="1">PMT((Market+0.5%)/12,480,-M28)</f>
        <v>1523.781383639636</v>
      </c>
      <c r="O34" s="3"/>
    </row>
    <row r="35" spans="1:15" ht="12.95">
      <c r="A35" s="45"/>
      <c r="B35" s="14" t="s">
        <v>45</v>
      </c>
      <c r="F35" s="44"/>
      <c r="G35" s="47"/>
      <c r="H35" s="4"/>
      <c r="I35" s="1" t="s">
        <v>46</v>
      </c>
      <c r="J35" s="9" t="s">
        <v>42</v>
      </c>
      <c r="M35" s="79">
        <f ca="1">IF(M34&gt;M30,M28+PV((Market+0.5%)/12,480,M30),0)</f>
        <v>76983.187210374279</v>
      </c>
      <c r="O35" s="3"/>
    </row>
    <row r="36" spans="1:15" ht="13.5">
      <c r="A36" s="45"/>
      <c r="B36" s="101" t="str">
        <f>HYPERLINK("http://www.freddiemac.com/pmms/","Freddie Mac PMMS 30yr Fixed")</f>
        <v>Freddie Mac PMMS 30yr Fixed</v>
      </c>
      <c r="C36" s="102"/>
      <c r="D36" s="103"/>
      <c r="E36" s="36">
        <v>6.6500000000000004E-2</v>
      </c>
      <c r="F36" s="44"/>
      <c r="G36" s="47"/>
      <c r="H36" s="4"/>
      <c r="I36" s="9"/>
      <c r="J36" s="9" t="s">
        <v>43</v>
      </c>
      <c r="M36" s="79">
        <f ca="1">M32</f>
        <v>38023.618986311631</v>
      </c>
      <c r="O36" s="3"/>
    </row>
    <row r="37" spans="1:15" ht="12.95">
      <c r="A37" s="45"/>
      <c r="B37" s="1" t="s">
        <v>47</v>
      </c>
      <c r="E37" s="37">
        <f>ROUND((E36)*800,0)/800</f>
        <v>6.6250000000000003E-2</v>
      </c>
      <c r="F37" s="44"/>
      <c r="G37" s="47"/>
      <c r="H37" s="4"/>
      <c r="I37" s="9"/>
      <c r="J37" s="9" t="s">
        <v>48</v>
      </c>
      <c r="M37" s="79">
        <f ca="1">IF(M36&gt;=M35,M35,M36)</f>
        <v>38023.618986311631</v>
      </c>
      <c r="O37" s="3"/>
    </row>
    <row r="38" spans="1:15" ht="12.95">
      <c r="A38" s="45"/>
      <c r="B38" s="20"/>
      <c r="C38" s="5"/>
      <c r="E38" s="8"/>
      <c r="F38" s="44"/>
      <c r="G38" s="47"/>
      <c r="H38" s="4"/>
      <c r="I38" s="9"/>
      <c r="J38" s="9"/>
      <c r="O38" s="3"/>
    </row>
    <row r="39" spans="1:15" ht="12.95">
      <c r="A39" s="4"/>
      <c r="B39" s="14" t="s">
        <v>49</v>
      </c>
      <c r="G39" s="3"/>
      <c r="H39" s="4"/>
      <c r="L39" s="88" t="s">
        <v>50</v>
      </c>
      <c r="O39" s="3"/>
    </row>
    <row r="40" spans="1:15">
      <c r="A40" s="4"/>
      <c r="B40" s="9" t="s">
        <v>51</v>
      </c>
      <c r="E40" s="32"/>
      <c r="G40" s="3"/>
      <c r="H40" s="4"/>
      <c r="J40" t="s">
        <v>52</v>
      </c>
      <c r="M40" s="84">
        <f ca="1">IF(OR(M32&gt;=M31,M25=0),M27+M33,M27+M37)</f>
        <v>72499.872986311631</v>
      </c>
      <c r="O40" s="3"/>
    </row>
    <row r="41" spans="1:15" ht="12.75" customHeight="1">
      <c r="A41" s="4"/>
      <c r="B41" s="9" t="str">
        <f>IF(E40&gt;0,"UPB at Time of Previous Partial Claim","")</f>
        <v/>
      </c>
      <c r="E41" s="66">
        <v>0</v>
      </c>
      <c r="G41" s="3"/>
      <c r="H41" s="4"/>
      <c r="J41" t="s">
        <v>53</v>
      </c>
      <c r="M41" s="85">
        <f ca="1">M5-M40</f>
        <v>203642.62430139381</v>
      </c>
      <c r="O41" s="3"/>
    </row>
    <row r="42" spans="1:15">
      <c r="A42" s="4"/>
      <c r="B42" s="9" t="s">
        <v>26</v>
      </c>
      <c r="E42" s="79">
        <f>IF(IF(E40&gt;0,0.3*E41-E40,0.3*DUPB)&gt;0,IF(E40&gt;0,0.3*E41-E40,0.3*DUPB),0)</f>
        <v>72499.872986311631</v>
      </c>
      <c r="G42" s="3"/>
      <c r="H42" s="4"/>
      <c r="J42" t="s">
        <v>9</v>
      </c>
      <c r="M42" s="86">
        <f ca="1">IF(M32&gt;=M31,Market,Market+0.5%)</f>
        <v>7.1250000000000008E-2</v>
      </c>
      <c r="O42" s="3"/>
    </row>
    <row r="43" spans="1:15" ht="12" customHeight="1">
      <c r="A43" s="4"/>
      <c r="G43" s="3"/>
      <c r="H43" s="4"/>
      <c r="J43" t="s">
        <v>54</v>
      </c>
      <c r="M43" s="87">
        <f ca="1">IF(M32&gt;=M31,360,480)</f>
        <v>480</v>
      </c>
      <c r="O43" s="3"/>
    </row>
    <row r="44" spans="1:15" ht="12.75" customHeight="1">
      <c r="A44" s="4"/>
      <c r="G44" s="3"/>
      <c r="H44" s="4"/>
      <c r="J44" t="s">
        <v>55</v>
      </c>
      <c r="M44" s="84">
        <f ca="1">PMT(M42/12,M43,-M41)</f>
        <v>1284.0305522379551</v>
      </c>
      <c r="O44" s="3"/>
    </row>
    <row r="45" spans="1:15">
      <c r="A45" s="4"/>
      <c r="G45" s="3"/>
      <c r="H45" s="4"/>
      <c r="J45" s="9" t="s">
        <v>56</v>
      </c>
      <c r="M45" s="85">
        <f ca="1">M44+E17-E16</f>
        <v>1747.390552237955</v>
      </c>
      <c r="O45" s="3"/>
    </row>
    <row r="46" spans="1:15">
      <c r="A46" s="4"/>
      <c r="G46" s="3"/>
      <c r="H46" s="4"/>
      <c r="O46" s="3"/>
    </row>
    <row r="47" spans="1:15" ht="12.95">
      <c r="A47" s="75"/>
      <c r="B47" s="6"/>
      <c r="C47" s="6"/>
      <c r="D47" s="6"/>
      <c r="E47" s="6"/>
      <c r="F47" s="40"/>
      <c r="G47" s="41"/>
      <c r="H47" s="75"/>
      <c r="I47" s="6"/>
      <c r="J47" s="6"/>
      <c r="K47" s="6"/>
      <c r="L47" s="6"/>
      <c r="M47" s="6"/>
      <c r="N47" s="6"/>
      <c r="O47" s="82" t="s">
        <v>57</v>
      </c>
    </row>
  </sheetData>
  <mergeCells count="4">
    <mergeCell ref="A1:O1"/>
    <mergeCell ref="A3:G3"/>
    <mergeCell ref="B36:D36"/>
    <mergeCell ref="B19:E19"/>
  </mergeCells>
  <phoneticPr fontId="2" type="noConversion"/>
  <conditionalFormatting sqref="B21">
    <cfRule type="expression" dxfId="18" priority="16">
      <formula>IF(AND(infotype=1,#REF!="Other"),1,0)</formula>
    </cfRule>
    <cfRule type="expression" dxfId="17" priority="17">
      <formula>IF(infotype=1,1,0)</formula>
    </cfRule>
  </conditionalFormatting>
  <conditionalFormatting sqref="B22">
    <cfRule type="expression" dxfId="16" priority="21">
      <formula>IF(infotype=2,1,0)</formula>
    </cfRule>
  </conditionalFormatting>
  <conditionalFormatting sqref="C24 C34">
    <cfRule type="expression" dxfId="15" priority="39">
      <formula>IF($E$6="ARM",1,0)</formula>
    </cfRule>
  </conditionalFormatting>
  <conditionalFormatting sqref="E7">
    <cfRule type="expression" dxfId="14" priority="35">
      <formula>IF($E$6="ARM",0,1)</formula>
    </cfRule>
  </conditionalFormatting>
  <conditionalFormatting sqref="E15">
    <cfRule type="expression" dxfId="13" priority="34">
      <formula>IF(#REF!="No",1,0)</formula>
    </cfRule>
  </conditionalFormatting>
  <conditionalFormatting sqref="E21">
    <cfRule type="expression" dxfId="12" priority="25">
      <formula>IF(infotype=1,1,0)</formula>
    </cfRule>
    <cfRule type="expression" dxfId="11" priority="30">
      <formula>IF(AND(infotype=3,NOT(JulyRules)),1,0)</formula>
    </cfRule>
  </conditionalFormatting>
  <conditionalFormatting sqref="E22">
    <cfRule type="expression" dxfId="10" priority="14">
      <formula>IF(infotype=2,1,0)</formula>
    </cfRule>
    <cfRule type="expression" dxfId="9" priority="15">
      <formula>IF(infotype=1,1,0)</formula>
    </cfRule>
  </conditionalFormatting>
  <conditionalFormatting sqref="E24">
    <cfRule type="expression" dxfId="8" priority="23">
      <formula>IF(infotype=3,1,0)</formula>
    </cfRule>
  </conditionalFormatting>
  <conditionalFormatting sqref="E25:E33">
    <cfRule type="expression" dxfId="7" priority="24">
      <formula>IF(infotype=3,1,0)</formula>
    </cfRule>
  </conditionalFormatting>
  <conditionalFormatting sqref="E41">
    <cfRule type="expression" dxfId="6" priority="12">
      <formula>IF($E$40&gt;0,0,1)</formula>
    </cfRule>
  </conditionalFormatting>
  <conditionalFormatting sqref="I34:L37 M35:M37">
    <cfRule type="expression" dxfId="5" priority="3">
      <formula>IF($M$32&gt;=$M$31,1,0)</formula>
    </cfRule>
  </conditionalFormatting>
  <conditionalFormatting sqref="M5:M9">
    <cfRule type="expression" dxfId="4" priority="7">
      <formula>IF($M$9&gt;=0.25,1,0)</formula>
    </cfRule>
  </conditionalFormatting>
  <conditionalFormatting sqref="M16">
    <cfRule type="expression" dxfId="3" priority="5">
      <formula>IF($M$15="Yes",0,1)</formula>
    </cfRule>
  </conditionalFormatting>
  <conditionalFormatting sqref="M17">
    <cfRule type="expression" dxfId="2" priority="4">
      <formula>IF($M$15="Yes",1,0)</formula>
    </cfRule>
  </conditionalFormatting>
  <conditionalFormatting sqref="M33">
    <cfRule type="expression" dxfId="1" priority="1">
      <formula>IF($J$33="",1,0)</formula>
    </cfRule>
  </conditionalFormatting>
  <conditionalFormatting sqref="M34">
    <cfRule type="expression" dxfId="0" priority="2">
      <formula>IF($M$32&gt;=$M$31,1,0)</formula>
    </cfRule>
  </conditionalFormatting>
  <dataValidations count="6">
    <dataValidation type="list" allowBlank="1" showInputMessage="1" showErrorMessage="1" sqref="M15 M38" xr:uid="{00000000-0002-0000-0000-000003000000}">
      <formula1>"Yes, No"</formula1>
    </dataValidation>
    <dataValidation type="list" allowBlank="1" showInputMessage="1" showErrorMessage="1" sqref="E20" xr:uid="{00000000-0002-0000-0000-000004000000}">
      <formula1>"Capitalized UPB, UPB at Default, Only Default Date"</formula1>
    </dataValidation>
    <dataValidation allowBlank="1" showErrorMessage="1" promptTitle="Default Date" prompt="Enter the date of the first missed payment." sqref="B23" xr:uid="{00000000-0002-0000-0000-000005000000}"/>
    <dataValidation allowBlank="1" showInputMessage="1" showErrorMessage="1" promptTitle="Monthly P&amp;I" prompt="Enter the amount of monthly principal and interest currently due on the loan - not the initial amount or amount that borrower last paid." sqref="E7" xr:uid="{00000000-0002-0000-0000-000006000000}"/>
    <dataValidation type="list" allowBlank="1" showInputMessage="1" showErrorMessage="1" sqref="E6" xr:uid="{00000000-0002-0000-0000-000007000000}">
      <formula1>"Fixed Rate, ARM"</formula1>
    </dataValidation>
    <dataValidation type="date" allowBlank="1" showErrorMessage="1" errorTitle="Improper Date" error="Default Date cell must contain a valid date after the first payment is due, but before today." promptTitle="Default Date" prompt="Enter the date of default" sqref="E23" xr:uid="{00000000-0002-0000-0000-000000000000}">
      <formula1>E11</formula1>
      <formula2>E24</formula2>
    </dataValidation>
  </dataValidations>
  <pageMargins left="0.25" right="0.25" top="0.75" bottom="0.75" header="0.3" footer="0.3"/>
  <pageSetup scale="82" orientation="landscape" r:id="rId1"/>
  <headerFooter alignWithMargins="0">
    <oddHeader xml:space="preserve">&amp;L&amp;"Arial,Bold"&amp;14&amp;F
&amp;"Arial,Regular"&amp;10Run on: &amp;D&amp;"Arial,Bold"&amp;14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L18"/>
  <sheetViews>
    <sheetView workbookViewId="0">
      <selection activeCell="E17" sqref="E17"/>
    </sheetView>
  </sheetViews>
  <sheetFormatPr defaultColWidth="8.85546875" defaultRowHeight="12.6"/>
  <cols>
    <col min="1" max="1" width="15.85546875" bestFit="1" customWidth="1"/>
    <col min="2" max="2" width="18" customWidth="1"/>
    <col min="3" max="3" width="18.85546875" customWidth="1"/>
    <col min="5" max="5" width="17.28515625" customWidth="1"/>
    <col min="6" max="6" width="16" customWidth="1"/>
    <col min="7" max="7" width="14" customWidth="1"/>
    <col min="8" max="8" width="14.42578125" customWidth="1"/>
    <col min="9" max="9" width="16.85546875" customWidth="1"/>
    <col min="10" max="10" width="12.85546875" customWidth="1"/>
    <col min="11" max="11" width="13.28515625" customWidth="1"/>
    <col min="12" max="12" width="14.7109375" customWidth="1"/>
  </cols>
  <sheetData>
    <row r="1" spans="1:12">
      <c r="A1" t="s">
        <v>58</v>
      </c>
      <c r="B1">
        <f ca="1">ROUNDUP((TODAY-FPAY)/360,0)</f>
        <v>11</v>
      </c>
      <c r="F1" s="61">
        <v>40455</v>
      </c>
      <c r="G1" s="61">
        <v>40651</v>
      </c>
      <c r="H1" s="61">
        <v>41008</v>
      </c>
      <c r="I1" s="61">
        <v>41071</v>
      </c>
      <c r="J1" s="61">
        <v>41365</v>
      </c>
      <c r="K1" s="61">
        <v>41428</v>
      </c>
      <c r="L1" s="60" t="s">
        <v>59</v>
      </c>
    </row>
    <row r="2" spans="1:12">
      <c r="A2" s="9" t="s">
        <v>60</v>
      </c>
      <c r="B2" s="43">
        <f>IF('FHA COVID Recovery Worksheet'!E6="ARM",ORATE,rate)</f>
        <v>0.04</v>
      </c>
      <c r="F2" s="60">
        <f>IF(FPAY&lt;F1,1,0)</f>
        <v>0</v>
      </c>
      <c r="G2" s="60">
        <f>IF(AND(FPAY&gt;F1,FPAY&lt;=G1),1,0)</f>
        <v>0</v>
      </c>
      <c r="H2" s="60">
        <f>IF(AND(FPAY&gt;G1,FPAY&lt;=H1),1,0)</f>
        <v>0</v>
      </c>
      <c r="I2" s="60">
        <f>IF(AND(FPAY&gt;H1,FPAY&lt;=I1),1,0)</f>
        <v>0</v>
      </c>
      <c r="J2" s="60">
        <f>IF(AND(FPAY&gt;I1,FPAY&lt;=J1),1,0)</f>
        <v>0</v>
      </c>
      <c r="K2" s="60">
        <f>IF(AND(FPAY&gt;J1,FPAY&lt;=K1),1,0)</f>
        <v>1</v>
      </c>
      <c r="L2" s="60">
        <f>IF(FPAY&gt;=K1,1,0)</f>
        <v>0</v>
      </c>
    </row>
    <row r="3" spans="1:12">
      <c r="A3" t="s">
        <v>61</v>
      </c>
      <c r="B3" s="21" t="s">
        <v>62</v>
      </c>
      <c r="C3" t="s">
        <v>63</v>
      </c>
      <c r="E3" t="s">
        <v>64</v>
      </c>
      <c r="F3" s="62">
        <v>2.2499999999999999E-2</v>
      </c>
      <c r="G3" s="63">
        <v>0.01</v>
      </c>
      <c r="H3" s="63">
        <v>0.01</v>
      </c>
      <c r="I3" s="64">
        <v>1.7500000000000002E-2</v>
      </c>
      <c r="J3" s="64">
        <v>1.7500000000000002E-2</v>
      </c>
      <c r="K3" s="64">
        <v>1.7500000000000002E-2</v>
      </c>
      <c r="L3" s="64">
        <v>1.7500000000000002E-2</v>
      </c>
    </row>
    <row r="4" spans="1:12">
      <c r="A4">
        <f ca="1">(B1-1)*12+1</f>
        <v>121</v>
      </c>
      <c r="B4" s="19">
        <f ca="1">IF(A4=1,OPRINC,OPRINC+CUMPRINC($B$2/12,LOANTERM,OPRINC,1,A4-1,0))</f>
        <v>228473.4817135855</v>
      </c>
      <c r="C4" s="20">
        <f ca="1">AVERAGE(B4:B15)</f>
        <v>225009.03350739623</v>
      </c>
      <c r="E4" t="s">
        <v>65</v>
      </c>
      <c r="F4" s="59">
        <f>0.5%</f>
        <v>5.0000000000000001E-3</v>
      </c>
      <c r="G4" s="59" t="e">
        <f>IF(C13&gt;95%,0.85%,0.9%)</f>
        <v>#REF!</v>
      </c>
      <c r="H4" s="59" t="e">
        <f>IF(C13&gt;95%,1.1%,1.15%)</f>
        <v>#REF!</v>
      </c>
      <c r="I4" s="59" t="e">
        <f>IF(C13&gt;95%,1.2%,1.25%)</f>
        <v>#REF!</v>
      </c>
      <c r="J4" s="59" t="e">
        <f>IF(C13&gt;95%,1.2%,1.25%)+IF(OPRINC&gt;(625000-C10),0.25%,0)</f>
        <v>#REF!</v>
      </c>
      <c r="K4" s="59" t="e">
        <f>IF(C13&gt;95%,1.3%,1.35%)+IF(OPRINC&gt;(625000-C10),0.2%,0)</f>
        <v>#REF!</v>
      </c>
      <c r="L4" s="59" t="e">
        <f>IF(C13&gt;95%,1.3%,1.35%)+IF(OPRINC&gt;(625000-C10),0.2%,0)</f>
        <v>#REF!</v>
      </c>
    </row>
    <row r="5" spans="1:12">
      <c r="A5">
        <f t="shared" ref="A5:A15" ca="1" si="0">A4+1</f>
        <v>122</v>
      </c>
      <c r="B5" s="19">
        <f t="shared" ref="B5:B15" ca="1" si="1">OPRINC+CUMPRINC($B$2/12,LOANTERM,OPRINC,1,A5-1,0)</f>
        <v>227850.5556291143</v>
      </c>
      <c r="E5" t="s">
        <v>66</v>
      </c>
      <c r="F5" s="65" t="e">
        <f t="shared" ref="F5:K5" si="2">IF(AND(OVALUE*0.78&lt;(DUPB/(1+UFMIPRATE)),ROUNDUP(DAYS360(FPAY,DDate)/30,0)&gt;60),0,1)</f>
        <v>#REF!</v>
      </c>
      <c r="G5" s="65" t="e">
        <f t="shared" si="2"/>
        <v>#REF!</v>
      </c>
      <c r="H5" s="65" t="e">
        <f t="shared" si="2"/>
        <v>#REF!</v>
      </c>
      <c r="I5" s="65" t="e">
        <f t="shared" si="2"/>
        <v>#REF!</v>
      </c>
      <c r="J5" s="65" t="e">
        <f t="shared" si="2"/>
        <v>#REF!</v>
      </c>
      <c r="K5" s="65" t="e">
        <f t="shared" si="2"/>
        <v>#REF!</v>
      </c>
      <c r="L5" s="65" t="e">
        <f>IF(C13&gt;90%,0,IF(AND(OVALUE*0.78&lt;(DUPB/(1+UFMIPRATE)),ROUNDUP(DAYS360(FPAY,DDate)/30,0)&gt;132),0,1))</f>
        <v>#REF!</v>
      </c>
    </row>
    <row r="6" spans="1:12">
      <c r="A6">
        <f t="shared" ca="1" si="0"/>
        <v>123</v>
      </c>
      <c r="B6" s="19">
        <f t="shared" ca="1" si="1"/>
        <v>227225.55312436153</v>
      </c>
      <c r="C6" t="s">
        <v>67</v>
      </c>
      <c r="F6" s="19"/>
    </row>
    <row r="7" spans="1:12">
      <c r="A7">
        <f t="shared" ca="1" si="0"/>
        <v>124</v>
      </c>
      <c r="B7" s="19">
        <f t="shared" ca="1" si="1"/>
        <v>226598.46727792622</v>
      </c>
      <c r="C7" s="19" t="e">
        <f ca="1">MIPRATE*C4/12/(1+UFMIPRATE)*HLOOKUP(1,MIPMATRIX,4,FALSE)</f>
        <v>#REF!</v>
      </c>
      <c r="F7" s="19"/>
      <c r="G7" s="19"/>
    </row>
    <row r="8" spans="1:12">
      <c r="A8">
        <f t="shared" ca="1" si="0"/>
        <v>125</v>
      </c>
      <c r="B8" s="19">
        <f t="shared" ca="1" si="1"/>
        <v>225969.29114533614</v>
      </c>
      <c r="F8" s="19"/>
    </row>
    <row r="9" spans="1:12">
      <c r="A9">
        <f t="shared" ca="1" si="0"/>
        <v>126</v>
      </c>
      <c r="B9" s="19">
        <f t="shared" ca="1" si="1"/>
        <v>225338.01775897076</v>
      </c>
      <c r="C9" t="s">
        <v>68</v>
      </c>
      <c r="F9" s="19"/>
    </row>
    <row r="10" spans="1:12">
      <c r="A10">
        <f t="shared" ca="1" si="0"/>
        <v>127</v>
      </c>
      <c r="B10" s="19">
        <f t="shared" ca="1" si="1"/>
        <v>224704.64012798417</v>
      </c>
      <c r="C10" s="19" t="e">
        <f>UFMIPRATE*OPRINC/(1+UFMIPRATE)</f>
        <v>#REF!</v>
      </c>
      <c r="F10" s="19"/>
    </row>
    <row r="11" spans="1:12">
      <c r="A11">
        <f t="shared" ca="1" si="0"/>
        <v>128</v>
      </c>
      <c r="B11" s="19">
        <f t="shared" ca="1" si="1"/>
        <v>224069.15123822761</v>
      </c>
      <c r="F11" s="19"/>
    </row>
    <row r="12" spans="1:12">
      <c r="A12">
        <f t="shared" ca="1" si="0"/>
        <v>129</v>
      </c>
      <c r="B12" s="19">
        <f t="shared" ca="1" si="1"/>
        <v>223431.54405217187</v>
      </c>
      <c r="C12" t="s">
        <v>69</v>
      </c>
      <c r="F12" s="19"/>
    </row>
    <row r="13" spans="1:12">
      <c r="A13">
        <f t="shared" ca="1" si="0"/>
        <v>130</v>
      </c>
      <c r="B13" s="19">
        <f t="shared" ca="1" si="1"/>
        <v>222791.8115088293</v>
      </c>
      <c r="C13" s="59" t="e">
        <f>(OPRINC-C10)/OVALUE</f>
        <v>#REF!</v>
      </c>
      <c r="F13" s="19"/>
    </row>
    <row r="14" spans="1:12">
      <c r="A14">
        <f t="shared" ca="1" si="0"/>
        <v>131</v>
      </c>
      <c r="B14" s="19">
        <f t="shared" ca="1" si="1"/>
        <v>222149.94652367558</v>
      </c>
      <c r="F14" s="19"/>
    </row>
    <row r="15" spans="1:12">
      <c r="A15">
        <f t="shared" ca="1" si="0"/>
        <v>132</v>
      </c>
      <c r="B15" s="19">
        <f t="shared" ca="1" si="1"/>
        <v>221505.94198857131</v>
      </c>
      <c r="C15" t="s">
        <v>70</v>
      </c>
      <c r="F15" s="19"/>
    </row>
    <row r="16" spans="1:12">
      <c r="C16" s="59" t="e">
        <f>DUPB/(OVALUE/(1+UFMIPRATE))</f>
        <v>#REF!</v>
      </c>
    </row>
    <row r="17" spans="1:2">
      <c r="A17" t="s">
        <v>71</v>
      </c>
      <c r="B17" t="s">
        <v>72</v>
      </c>
    </row>
    <row r="18" spans="1:2">
      <c r="A18" t="e">
        <f>HLOOKUP(1,MIPMATRIX,3,FALSE)</f>
        <v>#REF!</v>
      </c>
      <c r="B18" t="e">
        <f>IF(MIPFIN="No",0,HLOOKUP(1,MIPMATRIX,2,FALSE))</f>
        <v>#REF!</v>
      </c>
    </row>
  </sheetData>
  <dataConsolidate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CC99FF"/>
    <pageSetUpPr autoPageBreaks="0"/>
  </sheetPr>
  <dimension ref="A1:I54"/>
  <sheetViews>
    <sheetView showGridLines="0" zoomScaleNormal="100" workbookViewId="0">
      <selection activeCell="A17" sqref="A17:E17"/>
    </sheetView>
  </sheetViews>
  <sheetFormatPr defaultColWidth="8.85546875" defaultRowHeight="12.6"/>
  <cols>
    <col min="1" max="1" width="18.140625" customWidth="1"/>
    <col min="2" max="2" width="9" customWidth="1"/>
    <col min="3" max="3" width="23.42578125" customWidth="1"/>
    <col min="4" max="4" width="16" customWidth="1"/>
    <col min="5" max="5" width="24.42578125" customWidth="1"/>
  </cols>
  <sheetData>
    <row r="1" spans="1:9" ht="17.45">
      <c r="A1" s="95" t="s">
        <v>73</v>
      </c>
      <c r="B1" s="96"/>
      <c r="C1" s="96"/>
      <c r="D1" s="96"/>
      <c r="E1" s="97"/>
    </row>
    <row r="2" spans="1:9" ht="17.45">
      <c r="A2" s="26"/>
      <c r="B2" s="27"/>
      <c r="C2" s="27"/>
      <c r="D2" s="27"/>
      <c r="E2" s="28"/>
    </row>
    <row r="3" spans="1:9">
      <c r="A3" s="23"/>
      <c r="B3" s="22"/>
      <c r="C3" s="22"/>
      <c r="D3" s="22"/>
      <c r="E3" s="24"/>
    </row>
    <row r="4" spans="1:9">
      <c r="A4" s="23"/>
      <c r="B4" s="22"/>
      <c r="E4" s="24"/>
    </row>
    <row r="5" spans="1:9">
      <c r="A5" s="23"/>
      <c r="B5" s="22"/>
      <c r="E5" s="24"/>
    </row>
    <row r="6" spans="1:9">
      <c r="A6" s="23"/>
      <c r="B6" s="22"/>
      <c r="E6" s="24"/>
    </row>
    <row r="7" spans="1:9">
      <c r="A7" s="23"/>
      <c r="B7" s="22"/>
      <c r="E7" s="24"/>
    </row>
    <row r="8" spans="1:9">
      <c r="A8" s="23"/>
      <c r="B8" s="22"/>
      <c r="E8" s="24"/>
      <c r="I8" s="35"/>
    </row>
    <row r="9" spans="1:9">
      <c r="A9" s="23"/>
      <c r="B9" s="22"/>
      <c r="E9" s="24"/>
    </row>
    <row r="10" spans="1:9">
      <c r="A10" s="23"/>
      <c r="B10" s="22"/>
      <c r="E10" s="24"/>
    </row>
    <row r="11" spans="1:9">
      <c r="A11" s="23"/>
      <c r="B11" s="22"/>
      <c r="E11" s="24"/>
    </row>
    <row r="12" spans="1:9">
      <c r="A12" s="23"/>
      <c r="B12" s="22"/>
      <c r="C12" s="22"/>
      <c r="D12" s="22"/>
      <c r="E12" s="24"/>
    </row>
    <row r="13" spans="1:9">
      <c r="A13" s="23"/>
      <c r="B13" s="22"/>
      <c r="C13" s="22"/>
      <c r="D13" s="22"/>
      <c r="E13" s="24"/>
    </row>
    <row r="14" spans="1:9">
      <c r="A14" s="23"/>
      <c r="B14" s="22"/>
      <c r="C14" s="22"/>
      <c r="D14" s="22"/>
      <c r="E14" s="24"/>
    </row>
    <row r="15" spans="1:9">
      <c r="A15" s="42" t="s">
        <v>74</v>
      </c>
      <c r="B15" s="25"/>
      <c r="C15" s="25"/>
      <c r="D15" s="40"/>
      <c r="E15" s="41" t="s">
        <v>75</v>
      </c>
    </row>
    <row r="16" spans="1:9" ht="12.95">
      <c r="A16" s="38"/>
      <c r="B16" s="22"/>
      <c r="C16" s="22"/>
      <c r="D16" s="22"/>
      <c r="E16" s="39"/>
    </row>
    <row r="18" spans="1:5">
      <c r="A18" s="22"/>
      <c r="B18" s="22"/>
      <c r="C18" s="22"/>
      <c r="D18" s="22"/>
      <c r="E18" s="22"/>
    </row>
    <row r="19" spans="1:5">
      <c r="A19" s="22"/>
      <c r="B19" s="22"/>
      <c r="C19" s="22"/>
      <c r="D19" s="22"/>
      <c r="E19" s="22"/>
    </row>
    <row r="20" spans="1:5">
      <c r="A20" s="22"/>
      <c r="B20" s="22"/>
      <c r="C20" s="22"/>
      <c r="D20" s="22"/>
      <c r="E20" s="22"/>
    </row>
    <row r="21" spans="1:5">
      <c r="A21" s="22"/>
      <c r="B21" s="22"/>
      <c r="C21" s="22"/>
      <c r="D21" s="22"/>
      <c r="E21" s="22"/>
    </row>
    <row r="22" spans="1:5">
      <c r="A22" s="22"/>
      <c r="B22" s="22"/>
      <c r="C22" s="22"/>
      <c r="D22" s="22"/>
      <c r="E22" s="22"/>
    </row>
    <row r="23" spans="1:5">
      <c r="A23" s="22"/>
      <c r="B23" s="22"/>
      <c r="C23" s="22"/>
      <c r="D23" s="22"/>
      <c r="E23" s="22"/>
    </row>
    <row r="24" spans="1:5">
      <c r="A24" s="22"/>
      <c r="B24" s="22"/>
      <c r="C24" s="22"/>
      <c r="D24" s="22"/>
      <c r="E24" s="22"/>
    </row>
    <row r="25" spans="1:5">
      <c r="A25" s="22"/>
      <c r="B25" s="22"/>
      <c r="C25" s="22"/>
      <c r="D25" s="22"/>
      <c r="E25" s="22"/>
    </row>
    <row r="26" spans="1:5">
      <c r="A26" s="22"/>
      <c r="B26" s="22"/>
      <c r="C26" s="22"/>
      <c r="D26" s="22"/>
      <c r="E26" s="22"/>
    </row>
    <row r="27" spans="1:5">
      <c r="A27" s="22"/>
      <c r="B27" s="22"/>
      <c r="C27" s="22"/>
      <c r="D27" s="22"/>
      <c r="E27" s="22"/>
    </row>
    <row r="28" spans="1:5">
      <c r="A28" s="22"/>
      <c r="B28" s="22"/>
      <c r="C28" s="22"/>
      <c r="D28" s="22"/>
      <c r="E28" s="22"/>
    </row>
    <row r="29" spans="1:5">
      <c r="A29" s="22"/>
      <c r="B29" s="22"/>
      <c r="C29" s="22"/>
      <c r="D29" s="22"/>
      <c r="E29" s="22"/>
    </row>
    <row r="30" spans="1:5">
      <c r="A30" s="22"/>
      <c r="B30" s="22"/>
      <c r="C30" s="22"/>
      <c r="D30" s="22"/>
      <c r="E30" s="22"/>
    </row>
    <row r="31" spans="1:5">
      <c r="A31" s="22"/>
      <c r="B31" s="22"/>
      <c r="C31" s="22"/>
      <c r="D31" s="22"/>
      <c r="E31" s="22"/>
    </row>
    <row r="32" spans="1:5">
      <c r="A32" s="22"/>
      <c r="B32" s="22"/>
      <c r="C32" s="22"/>
      <c r="D32" s="22"/>
      <c r="E32" s="22"/>
    </row>
    <row r="33" spans="1:5">
      <c r="A33" s="22"/>
      <c r="B33" s="22"/>
      <c r="C33" s="22"/>
      <c r="D33" s="22"/>
      <c r="E33" s="22"/>
    </row>
    <row r="34" spans="1:5">
      <c r="A34" s="22"/>
      <c r="B34" s="22"/>
      <c r="C34" s="22"/>
      <c r="D34" s="22"/>
      <c r="E34" s="22"/>
    </row>
    <row r="35" spans="1:5">
      <c r="A35" s="22"/>
      <c r="B35" s="22"/>
      <c r="C35" s="22"/>
      <c r="D35" s="22"/>
      <c r="E35" s="22"/>
    </row>
    <row r="36" spans="1:5">
      <c r="A36" s="22"/>
      <c r="B36" s="22"/>
      <c r="C36" s="22"/>
      <c r="D36" s="22"/>
      <c r="E36" s="22"/>
    </row>
    <row r="37" spans="1:5">
      <c r="A37" s="22"/>
      <c r="B37" s="22"/>
      <c r="C37" s="22"/>
      <c r="D37" s="22"/>
      <c r="E37" s="22"/>
    </row>
    <row r="38" spans="1:5">
      <c r="A38" s="22"/>
      <c r="B38" s="22"/>
      <c r="C38" s="22"/>
      <c r="D38" s="22"/>
      <c r="E38" s="22"/>
    </row>
    <row r="39" spans="1:5">
      <c r="A39" s="22"/>
      <c r="B39" s="22"/>
      <c r="C39" s="22"/>
      <c r="D39" s="22"/>
      <c r="E39" s="22"/>
    </row>
    <row r="40" spans="1:5">
      <c r="A40" s="22"/>
      <c r="B40" s="22"/>
      <c r="C40" s="22"/>
      <c r="D40" s="22"/>
      <c r="E40" s="22"/>
    </row>
    <row r="41" spans="1:5">
      <c r="A41" s="22"/>
      <c r="B41" s="22"/>
      <c r="C41" s="22"/>
      <c r="D41" s="22"/>
      <c r="E41" s="22"/>
    </row>
    <row r="42" spans="1:5">
      <c r="A42" s="22"/>
      <c r="B42" s="22"/>
      <c r="C42" s="22"/>
      <c r="D42" s="22"/>
      <c r="E42" s="22"/>
    </row>
    <row r="43" spans="1:5">
      <c r="A43" s="22"/>
      <c r="B43" s="22"/>
      <c r="C43" s="22"/>
      <c r="D43" s="22"/>
      <c r="E43" s="22"/>
    </row>
    <row r="44" spans="1:5">
      <c r="A44" s="22"/>
      <c r="B44" s="22"/>
      <c r="C44" s="22"/>
      <c r="D44" s="22"/>
      <c r="E44" s="22"/>
    </row>
    <row r="45" spans="1:5">
      <c r="A45" s="22"/>
      <c r="B45" s="22"/>
      <c r="C45" s="22"/>
      <c r="D45" s="22"/>
      <c r="E45" s="22"/>
    </row>
    <row r="46" spans="1:5">
      <c r="A46" s="22"/>
      <c r="B46" s="22"/>
      <c r="C46" s="22"/>
      <c r="D46" s="22"/>
      <c r="E46" s="22"/>
    </row>
    <row r="47" spans="1:5">
      <c r="A47" s="22"/>
      <c r="B47" s="22"/>
      <c r="C47" s="22"/>
      <c r="D47" s="22"/>
      <c r="E47" s="22"/>
    </row>
    <row r="48" spans="1:5">
      <c r="A48" s="22"/>
      <c r="B48" s="22"/>
      <c r="C48" s="22"/>
      <c r="D48" s="22"/>
      <c r="E48" s="22"/>
    </row>
    <row r="49" spans="1:5">
      <c r="A49" s="22"/>
      <c r="B49" s="22"/>
      <c r="C49" s="22"/>
      <c r="D49" s="22"/>
      <c r="E49" s="22"/>
    </row>
    <row r="50" spans="1:5">
      <c r="A50" s="22"/>
      <c r="B50" s="22"/>
      <c r="C50" s="22"/>
      <c r="D50" s="22"/>
      <c r="E50" s="22"/>
    </row>
    <row r="51" spans="1:5">
      <c r="A51" s="22"/>
      <c r="B51" s="22"/>
      <c r="C51" s="22"/>
      <c r="D51" s="22"/>
      <c r="E51" s="22"/>
    </row>
    <row r="52" spans="1:5">
      <c r="A52" s="22"/>
      <c r="B52" s="22"/>
      <c r="C52" s="22"/>
      <c r="D52" s="22"/>
      <c r="E52" s="22"/>
    </row>
    <row r="53" spans="1:5">
      <c r="A53" s="22"/>
      <c r="B53" s="22"/>
      <c r="C53" s="22"/>
      <c r="D53" s="22"/>
      <c r="E53" s="22"/>
    </row>
    <row r="54" spans="1:5">
      <c r="A54" s="22"/>
      <c r="B54" s="22"/>
      <c r="C54" s="22"/>
      <c r="D54" s="22"/>
      <c r="E54" s="22"/>
    </row>
  </sheetData>
  <mergeCells count="1">
    <mergeCell ref="A1:E1"/>
  </mergeCells>
  <pageMargins left="0.7" right="0.7" top="0.75" bottom="0.75" header="0.3" footer="0.3"/>
  <pageSetup orientation="portrait" r:id="rId1"/>
  <headerFooter>
    <oddHeader>&amp;L&amp;"Arial,Bold"&amp;14&amp;F&amp;"Arial,Regular"&amp;10
Run on: &amp;D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20"/>
  <sheetViews>
    <sheetView workbookViewId="0">
      <selection activeCell="B20" sqref="B20"/>
    </sheetView>
  </sheetViews>
  <sheetFormatPr defaultColWidth="8.85546875" defaultRowHeight="12.6"/>
  <cols>
    <col min="1" max="1" width="26.7109375" customWidth="1"/>
    <col min="2" max="2" width="16.7109375" customWidth="1"/>
    <col min="5" max="5" width="12.5703125" customWidth="1"/>
    <col min="6" max="6" width="16.140625" customWidth="1"/>
    <col min="7" max="7" width="13.5703125" customWidth="1"/>
    <col min="8" max="8" width="21.140625" customWidth="1"/>
    <col min="9" max="9" width="15.85546875" customWidth="1"/>
    <col min="10" max="10" width="21" customWidth="1"/>
    <col min="11" max="11" width="25.42578125" customWidth="1"/>
    <col min="12" max="12" width="11.28515625" customWidth="1"/>
  </cols>
  <sheetData>
    <row r="1" spans="1:12">
      <c r="A1" s="9" t="s">
        <v>76</v>
      </c>
      <c r="B1" t="e">
        <f>IF(AND(#REF!="Yes"),1,0)</f>
        <v>#REF!</v>
      </c>
      <c r="E1" s="105" t="s">
        <v>77</v>
      </c>
      <c r="F1" s="105"/>
      <c r="G1" s="105"/>
      <c r="H1" s="105"/>
      <c r="I1" s="105"/>
      <c r="J1" s="105"/>
      <c r="K1" s="105"/>
      <c r="L1" s="105"/>
    </row>
    <row r="2" spans="1:12">
      <c r="A2" s="9" t="s">
        <v>78</v>
      </c>
      <c r="B2" t="e">
        <f>IF(AND(StepFour,#REF!="No"),1,0)</f>
        <v>#REF!</v>
      </c>
      <c r="E2" s="9"/>
      <c r="F2" s="9" t="s">
        <v>79</v>
      </c>
      <c r="G2" s="9" t="s">
        <v>80</v>
      </c>
      <c r="H2" s="9" t="s">
        <v>81</v>
      </c>
      <c r="I2" s="9" t="s">
        <v>82</v>
      </c>
      <c r="J2" s="9" t="s">
        <v>83</v>
      </c>
      <c r="K2" s="9" t="s">
        <v>84</v>
      </c>
      <c r="L2" s="9" t="s">
        <v>85</v>
      </c>
    </row>
    <row r="3" spans="1:12">
      <c r="A3" s="9" t="s">
        <v>86</v>
      </c>
      <c r="B3" t="e">
        <f>IF(OR(#REF!="no",StepFive),1,0)</f>
        <v>#REF!</v>
      </c>
      <c r="D3">
        <v>1</v>
      </c>
      <c r="F3" t="e">
        <f>GFORB</f>
        <v>#REF!</v>
      </c>
      <c r="G3">
        <f>GTM</f>
        <v>0</v>
      </c>
      <c r="H3" t="e">
        <f>GSAPC</f>
        <v>#REF!</v>
      </c>
      <c r="I3" t="e">
        <f>GSAHM</f>
        <v>#REF!</v>
      </c>
      <c r="J3" t="e">
        <f>B12</f>
        <v>#REF!</v>
      </c>
      <c r="K3" t="e">
        <f>B13</f>
        <v>#REF!</v>
      </c>
      <c r="L3" t="e">
        <f>NoMod</f>
        <v>#REF!</v>
      </c>
    </row>
    <row r="4" spans="1:12">
      <c r="A4" s="9" t="s">
        <v>87</v>
      </c>
      <c r="B4" t="e">
        <f>IF(AND(StepSix,NOT(GSAPC)),1,0)</f>
        <v>#REF!</v>
      </c>
      <c r="D4">
        <v>2</v>
      </c>
      <c r="E4" s="9" t="s">
        <v>88</v>
      </c>
      <c r="F4" s="9" t="s">
        <v>89</v>
      </c>
      <c r="G4" s="9" t="s">
        <v>90</v>
      </c>
      <c r="H4" s="9" t="s">
        <v>91</v>
      </c>
      <c r="I4" s="9" t="s">
        <v>92</v>
      </c>
      <c r="J4" s="9" t="s">
        <v>93</v>
      </c>
      <c r="K4" t="str">
        <f>J4</f>
        <v>FHA-HAMP Modification with Partial Claim</v>
      </c>
      <c r="L4" s="9" t="s">
        <v>94</v>
      </c>
    </row>
    <row r="5" spans="1:12">
      <c r="A5" s="9" t="s">
        <v>95</v>
      </c>
      <c r="B5" t="e">
        <f>IF(AND(DSAHM,NOT(GSAHM)),1,0)</f>
        <v>#REF!</v>
      </c>
      <c r="D5">
        <v>3</v>
      </c>
      <c r="E5" s="9" t="s">
        <v>25</v>
      </c>
      <c r="G5" s="20" t="e">
        <f>#REF!</f>
        <v>#REF!</v>
      </c>
      <c r="H5" s="20">
        <f>'FHA COVID Recovery Worksheet'!E17</f>
        <v>1847.8643568498328</v>
      </c>
      <c r="I5" s="20" t="e">
        <f>#REF!</f>
        <v>#REF!</v>
      </c>
      <c r="J5" s="19" t="e">
        <f>Target</f>
        <v>#NAME?</v>
      </c>
      <c r="K5" s="20" t="e">
        <f>#REF!</f>
        <v>#REF!</v>
      </c>
      <c r="L5" s="20" t="e">
        <f>2.5*#REF!</f>
        <v>#REF!</v>
      </c>
    </row>
    <row r="6" spans="1:12">
      <c r="A6" s="9" t="s">
        <v>96</v>
      </c>
      <c r="B6" t="e">
        <f>IF(AND(DMPC,NOT(B12)),1,0)</f>
        <v>#REF!</v>
      </c>
      <c r="D6">
        <v>4</v>
      </c>
      <c r="E6" s="9" t="s">
        <v>97</v>
      </c>
      <c r="G6" s="20" t="e">
        <f>G5-TIA</f>
        <v>#REF!</v>
      </c>
      <c r="H6" s="20">
        <f>H5-TIA</f>
        <v>1384.5043568498327</v>
      </c>
      <c r="I6" s="20" t="e">
        <f>I5-TIA</f>
        <v>#REF!</v>
      </c>
      <c r="J6" s="20" t="e">
        <f>J5-TIA</f>
        <v>#NAME?</v>
      </c>
      <c r="K6" s="20" t="e">
        <f>K5-TIA</f>
        <v>#REF!</v>
      </c>
    </row>
    <row r="7" spans="1:12">
      <c r="A7" s="9"/>
      <c r="D7">
        <v>5</v>
      </c>
      <c r="E7" s="9" t="s">
        <v>98</v>
      </c>
      <c r="G7" s="19">
        <f ca="1">CAPUPB</f>
        <v>276142.49728770542</v>
      </c>
      <c r="H7" s="58">
        <f ca="1">CAPUPB-H8</f>
        <v>233641.61708015925</v>
      </c>
      <c r="I7" s="19">
        <f ca="1">CAPUPB</f>
        <v>276142.49728770542</v>
      </c>
      <c r="J7" s="20" t="e">
        <f ca="1">CAPUPB-#REF!</f>
        <v>#REF!</v>
      </c>
      <c r="K7" s="20" t="e">
        <f ca="1">CAPUPB-#REF!</f>
        <v>#REF!</v>
      </c>
    </row>
    <row r="8" spans="1:12">
      <c r="A8" s="9" t="s">
        <v>99</v>
      </c>
      <c r="B8" t="e">
        <f>IF(AND(StepFour,#REF!="Yes"),1,0)</f>
        <v>#REF!</v>
      </c>
      <c r="D8">
        <v>6</v>
      </c>
      <c r="E8" s="9" t="s">
        <v>52</v>
      </c>
      <c r="G8">
        <v>0</v>
      </c>
      <c r="H8" s="35">
        <f ca="1">'FHA COVID Recovery Worksheet'!E25*'FHA COVID Recovery Worksheet'!E17</f>
        <v>42500.880207546157</v>
      </c>
      <c r="I8">
        <v>0</v>
      </c>
      <c r="J8" s="20" t="e">
        <f ca="1">CAPUPB-J7</f>
        <v>#REF!</v>
      </c>
      <c r="K8" s="20" t="e">
        <f ca="1">CAPUPB-K7</f>
        <v>#REF!</v>
      </c>
    </row>
    <row r="9" spans="1:12">
      <c r="A9" s="9" t="s">
        <v>100</v>
      </c>
      <c r="B9">
        <f>0</f>
        <v>0</v>
      </c>
      <c r="D9">
        <v>7</v>
      </c>
      <c r="E9" s="9" t="s">
        <v>9</v>
      </c>
      <c r="G9">
        <f>Market</f>
        <v>6.6250000000000003E-2</v>
      </c>
      <c r="H9">
        <f>rate</f>
        <v>0.04</v>
      </c>
      <c r="I9">
        <f>Market</f>
        <v>6.6250000000000003E-2</v>
      </c>
      <c r="J9">
        <f>Market</f>
        <v>6.6250000000000003E-2</v>
      </c>
      <c r="K9">
        <f>Market</f>
        <v>6.6250000000000003E-2</v>
      </c>
    </row>
    <row r="10" spans="1:12">
      <c r="A10" s="9" t="s">
        <v>101</v>
      </c>
      <c r="B10" t="e">
        <f>IF(AND(StepSix,#REF!="Yes"),1,0)</f>
        <v>#REF!</v>
      </c>
      <c r="D10">
        <v>8</v>
      </c>
      <c r="E10" s="9" t="s">
        <v>54</v>
      </c>
      <c r="G10">
        <v>360</v>
      </c>
      <c r="H10">
        <f ca="1">LOANTERM-ROUNDUP(DAYS360(FPAY,TODAY)/30,0)</f>
        <v>239</v>
      </c>
      <c r="I10">
        <v>360</v>
      </c>
      <c r="J10">
        <v>360</v>
      </c>
      <c r="K10">
        <v>360</v>
      </c>
    </row>
    <row r="11" spans="1:12">
      <c r="A11" s="9" t="s">
        <v>102</v>
      </c>
      <c r="B11" t="e">
        <f>IF(AND(B4,#REF!="Yes"),1,0)</f>
        <v>#REF!</v>
      </c>
    </row>
    <row r="12" spans="1:12">
      <c r="A12" s="9" t="s">
        <v>103</v>
      </c>
      <c r="B12" t="e">
        <f>IF(AND(DMPC,#REF!="Yes"),1,0)</f>
        <v>#REF!</v>
      </c>
    </row>
    <row r="13" spans="1:12">
      <c r="A13" s="9" t="s">
        <v>104</v>
      </c>
      <c r="B13" t="e">
        <f>IF(AND(DMWIP,#REF!="Yes"),1,0)</f>
        <v>#REF!</v>
      </c>
    </row>
    <row r="14" spans="1:12">
      <c r="A14" s="9" t="s">
        <v>85</v>
      </c>
      <c r="B14" t="e">
        <f>IF(SUM(B8:B13)=0,1,0)</f>
        <v>#REF!</v>
      </c>
    </row>
    <row r="15" spans="1:12">
      <c r="A15" s="9"/>
    </row>
    <row r="17" spans="1:8">
      <c r="A17" s="9" t="s">
        <v>105</v>
      </c>
      <c r="B17">
        <f>IF(Payoff="Only Default Date",1,IF(Payoff="UPB at Default",2,IF(Payoff="Capitalized UPB",3)))</f>
        <v>1</v>
      </c>
      <c r="H17" s="19">
        <f ca="1">IF('FHA COVID Recovery Worksheet'!M15="Yes",'FHA COVID Recovery Worksheet'!M16,'FHA COVID Recovery Worksheet'!M17)</f>
        <v>47500.88</v>
      </c>
    </row>
    <row r="20" spans="1:8">
      <c r="A20" s="9" t="s">
        <v>5</v>
      </c>
      <c r="B20" s="67">
        <f ca="1">DUPB+'FHA COVID Recovery Worksheet'!E33</f>
        <v>276142.49728770542</v>
      </c>
    </row>
  </sheetData>
  <mergeCells count="1">
    <mergeCell ref="E1:L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u n w + V o 2 Y c i i k A A A A 9 g A A A B I A H A B D b 2 5 m a W c v U G F j a 2 F n Z S 5 4 b W w g o h g A K K A U A A A A A A A A A A A A A A A A A A A A A A A A A A A A h Y 9 N D o I w G E S v Q r q n f 8 T E k F I W b i U x I R q 3 T a n Y C B + G F s v d X H g k r y B G U X c u 5 8 1 b z N y v N 5 G P b R N d T O 9 s B x l i m K L I g O 4 q C 3 W G B n + I l y i X Y q P 0 S d U m m m R w 6 e i q D B 2 9 P 6 e E h B B w S H D X 1 4 R T y s i + W J f 6 a F q F P r L 9 L 8 c W n F e g D Z J i 9 x o j O W a M 4 w V P M B V k h q K w 8 B X 4 t P f Z / k C x G h o / 9 E Y a i L e l I H M U 5 P 1 B P g B Q S w M E F A A C A A g A u n w +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p 8 P l Y o i k e 4 D g A A A B E A A A A T A B w A R m 9 y b X V s Y X M v U 2 V j d G l v b j E u b S C i G A A o o B Q A A A A A A A A A A A A A A A A A A A A A A A A A A A A r T k 0 u y c z P U w i G 0 I b W A F B L A Q I t A B Q A A g A I A L p 8 P l a N m H I o p A A A A P Y A A A A S A A A A A A A A A A A A A A A A A A A A A A B D b 2 5 m a W c v U G F j a 2 F n Z S 5 4 b W x Q S w E C L Q A U A A I A C A C 6 f D 5 W D 8 r p q 6 Q A A A D p A A A A E w A A A A A A A A A A A A A A A A D w A A A A W 0 N v b n R l b n R f V H l w Z X N d L n h t b F B L A Q I t A B Q A A g A I A L p 8 P l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4 + K Z p A 2 0 b Q 6 2 h c u V 5 c 7 O b A A A A A A I A A A A A A B B m A A A A A Q A A I A A A A B C w I v g b G a G p 5 O N L V O F t v O O M O g t q X b b G b r A G 3 D T c 2 A 4 r A A A A A A 6 A A A A A A g A A I A A A A N O I 3 q e r I / O F O I m n + U D k v L Q h w K U B d 6 9 5 i M O Z 4 T E z G 8 0 Y U A A A A I r P V P i R x i v U N j h J 2 2 r h c O x t n F q 7 R p W U A I G F B Y 2 w W W 7 K X j V H X V z 3 L M f x i R / c f k X W J Q p Y B Q g Q U c e d E A H L 4 w 2 c w j o Z s z W 1 V 5 7 7 E l N g H 5 k U + 0 D c Q A A A A M G 0 Y A d p u 6 0 a r n b f w I L E y H u v 0 U h m K h L 6 Y C + v V k K Q J m k L / G A O p t H f e g a r B x O v c m w 5 E P / 3 j c 6 H y N h 0 1 D 5 T y a x 8 w z M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B615635221324388FC5E6FF9FDFEDF" ma:contentTypeVersion="19" ma:contentTypeDescription="Create a new document." ma:contentTypeScope="" ma:versionID="9d887d8738b4cc2cd60e99bbd0ef71b8">
  <xsd:schema xmlns:xsd="http://www.w3.org/2001/XMLSchema" xmlns:xs="http://www.w3.org/2001/XMLSchema" xmlns:p="http://schemas.microsoft.com/office/2006/metadata/properties" xmlns:ns2="499f3542-0688-476c-b09c-0c039bfdd880" xmlns:ns3="d4b49695-86d2-4524-9ca1-043c44a2ad66" targetNamespace="http://schemas.microsoft.com/office/2006/metadata/properties" ma:root="true" ma:fieldsID="a54ce4e6860b9c42181cd3c2c130650b" ns2:_="" ns3:_="">
    <xsd:import namespace="499f3542-0688-476c-b09c-0c039bfdd880"/>
    <xsd:import namespace="d4b49695-86d2-4524-9ca1-043c44a2ad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Date" minOccurs="0"/>
                <xsd:element ref="ns2:Date_x0021_" minOccurs="0"/>
                <xsd:element ref="ns2:Text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f3542-0688-476c-b09c-0c039bfdd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Date" ma:index="19" nillable="true" ma:displayName="Date" ma:format="DateOnly" ma:internalName="Date">
      <xsd:simpleType>
        <xsd:restriction base="dms:DateTime"/>
      </xsd:simpleType>
    </xsd:element>
    <xsd:element name="Date_x0021_" ma:index="20" nillable="true" ma:displayName="Date!" ma:format="DateOnly" ma:internalName="Date_x0021_">
      <xsd:simpleType>
        <xsd:restriction base="dms:DateTime"/>
      </xsd:simpleType>
    </xsd:element>
    <xsd:element name="Text" ma:index="21" nillable="true" ma:displayName="Text" ma:format="Dropdown" ma:internalName="Text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44e3be2-d6bd-4a78-8456-525ec89242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49695-86d2-4524-9ca1-043c44a2ad6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8c48a278-0e6a-4885-833e-09bdbd04b9f6}" ma:internalName="TaxCatchAll" ma:showField="CatchAllData" ma:web="d4b49695-86d2-4524-9ca1-043c44a2ad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1_ xmlns="499f3542-0688-476c-b09c-0c039bfdd880" xsi:nil="true"/>
    <Text xmlns="499f3542-0688-476c-b09c-0c039bfdd880" xsi:nil="true"/>
    <Date xmlns="499f3542-0688-476c-b09c-0c039bfdd880" xsi:nil="true"/>
    <lcf76f155ced4ddcb4097134ff3c332f xmlns="499f3542-0688-476c-b09c-0c039bfdd880">
      <Terms xmlns="http://schemas.microsoft.com/office/infopath/2007/PartnerControls"/>
    </lcf76f155ced4ddcb4097134ff3c332f>
    <TaxCatchAll xmlns="d4b49695-86d2-4524-9ca1-043c44a2ad66" xsi:nil="true"/>
  </documentManagement>
</p:properties>
</file>

<file path=customXml/itemProps1.xml><?xml version="1.0" encoding="utf-8"?>
<ds:datastoreItem xmlns:ds="http://schemas.openxmlformats.org/officeDocument/2006/customXml" ds:itemID="{AE7459DB-4B7C-4E0D-BB99-12CC2525AC55}"/>
</file>

<file path=customXml/itemProps2.xml><?xml version="1.0" encoding="utf-8"?>
<ds:datastoreItem xmlns:ds="http://schemas.openxmlformats.org/officeDocument/2006/customXml" ds:itemID="{2B5A06B4-1367-4C59-B6F1-DF3DB910C100}"/>
</file>

<file path=customXml/itemProps3.xml><?xml version="1.0" encoding="utf-8"?>
<ds:datastoreItem xmlns:ds="http://schemas.openxmlformats.org/officeDocument/2006/customXml" ds:itemID="{1E1C950A-A484-49EC-8B22-48AB25F2B1BE}"/>
</file>

<file path=customXml/itemProps4.xml><?xml version="1.0" encoding="utf-8"?>
<ds:datastoreItem xmlns:ds="http://schemas.openxmlformats.org/officeDocument/2006/customXml" ds:itemID="{7BBD9EC4-6591-4662-8DDC-BD6C3ADC61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Eastside Community Development Corp.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MFY Legal Services, Inc.</dc:creator>
  <cp:keywords/>
  <dc:description/>
  <cp:lastModifiedBy>Joseph Rebella</cp:lastModifiedBy>
  <cp:revision/>
  <dcterms:created xsi:type="dcterms:W3CDTF">2010-03-17T18:01:29Z</dcterms:created>
  <dcterms:modified xsi:type="dcterms:W3CDTF">2023-05-12T15:03:40Z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0x010100CDB615635221324388FC5E6FF9FDFEDF</vt:lpwstr>
  </property>
  <property fmtid="{D5CDD505-2E9C-101B-9397-08002B2CF9AE}" pid="3" name="Order">
    <vt:r8>64791800</vt:r8>
  </property>
  <property fmtid="{D5CDD505-2E9C-101B-9397-08002B2CF9AE}" pid="4" name="MediaServiceImageTags">
    <vt:lpwstr/>
  </property>
</Properties>
</file>