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_MFY-wide Information\Projects\FPP\Waterfall Worksheet\"/>
    </mc:Choice>
  </mc:AlternateContent>
  <bookViews>
    <workbookView xWindow="0" yWindow="0" windowWidth="28800" windowHeight="12435"/>
  </bookViews>
  <sheets>
    <sheet name="Inputs" sheetId="8" r:id="rId1"/>
    <sheet name="Flex Mod" sheetId="4" r:id="rId2"/>
    <sheet name="Standard" sheetId="13" r:id="rId3"/>
    <sheet name="Calculations" sheetId="12" state="hidden" r:id="rId4"/>
  </sheets>
  <externalReferences>
    <externalReference r:id="rId5"/>
    <externalReference r:id="rId6"/>
  </externalReferences>
  <definedNames>
    <definedName name="AffNeg">#REF!</definedName>
    <definedName name="Am2nd">#REF!</definedName>
    <definedName name="amstep">#REF!</definedName>
    <definedName name="AmSteps">#REF!</definedName>
    <definedName name="Current">Calculations!$A$6:$C$7</definedName>
    <definedName name="DTI">Standard!$P$28</definedName>
    <definedName name="DTI_Range">#REF!</definedName>
    <definedName name="fpdate">#REF!</definedName>
    <definedName name="GMI">Inputs!$F$42</definedName>
    <definedName name="infotype">Calculations!$B$2</definedName>
    <definedName name="infotype2">#REF!</definedName>
    <definedName name="IntOnly2nd">#REF!</definedName>
    <definedName name="LoanType">#REF!</definedName>
    <definedName name="MaxDTI" localSheetId="2">Standard!#REF!</definedName>
    <definedName name="MaxDTI">'Flex Mod'!$N$29</definedName>
    <definedName name="MinDTI" localSheetId="2">Standard!#REF!</definedName>
    <definedName name="MinDTI">'Flex Mod'!$L$29</definedName>
    <definedName name="Mods">#REF!</definedName>
    <definedName name="MTMLTV">Calculations!$B$3</definedName>
    <definedName name="NonAM">#REF!</definedName>
    <definedName name="nonamsteps">#REF!</definedName>
    <definedName name="nper" localSheetId="0">Inputs!term*12</definedName>
    <definedName name="nper" localSheetId="2">term*12</definedName>
    <definedName name="nper">term*12</definedName>
    <definedName name="numsteps">#REF!</definedName>
    <definedName name="Numsteps2">#REF!</definedName>
    <definedName name="Owner">Calculations!$B$1</definedName>
    <definedName name="Payoff">Inputs!$N$21</definedName>
    <definedName name="Payoff2">#REF!</definedName>
    <definedName name="PIFAIL">#REF!</definedName>
    <definedName name="PIREDUCTION" localSheetId="2">Standard!$P$33</definedName>
    <definedName name="PIREDUCTION">'Flex Mod'!$P$36</definedName>
    <definedName name="PMMS">#REF!</definedName>
    <definedName name="PMUPB">#REF!</definedName>
    <definedName name="rangeunknown">#REF!</definedName>
    <definedName name="RateTable">Calculations!$D$2:$F$4</definedName>
    <definedName name="RateType">Inputs!$N$12</definedName>
    <definedName name="Rental">Inputs!$F$10</definedName>
    <definedName name="Seconds" localSheetId="2">'[1]Data Validation'!$I$15:$L$32</definedName>
    <definedName name="Seconds">#REF!</definedName>
    <definedName name="SecondServicer" localSheetId="2">'[1]2MP'!$E$17</definedName>
    <definedName name="SecondServicer">#REF!</definedName>
    <definedName name="Servicer" localSheetId="2">[1]Inputs!$N$6</definedName>
    <definedName name="Servicer">Inputs!#REF!</definedName>
    <definedName name="Servicer_2MP">#REF!</definedName>
    <definedName name="Servicer_List">#REF!</definedName>
    <definedName name="sline">#REF!</definedName>
    <definedName name="small">#REF!</definedName>
    <definedName name="T2DEBT">Inputs!$N$39</definedName>
    <definedName name="T2PITIA" localSheetId="2">Standard!$P$25</definedName>
    <definedName name="T2PITIA">'Flex Mod'!#REF!</definedName>
    <definedName name="term" localSheetId="0">[2]Inputs!$D$7</definedName>
    <definedName name="term">#REF!</definedName>
    <definedName name="Tier2_Outcome">#REF!</definedName>
    <definedName name="TierOne">#REF!</definedName>
    <definedName name="TierTwo" localSheetId="2">Standard!$P$35</definedName>
    <definedName name="TierTwo">'Flex Mod'!$P$40</definedName>
    <definedName name="TODAY">Inputs!$N$25</definedName>
    <definedName name="TYPE">Inputs!$N$5</definedName>
    <definedName name="UPB">'Flex Mod'!$E$27</definedName>
    <definedName name="Value">Inputs!$F$9</definedName>
  </definedNames>
  <calcPr calcId="162913"/>
  <customWorkbookViews>
    <customWorkbookView name="Custom" guid="{0367687A-2E80-4414-9E57-D64905950517}" includePrintSettings="0" includeHiddenRowCol="0" maximized="1" xWindow="1" yWindow="1" windowWidth="1676" windowHeight="829" activeSheetId="10"/>
  </customWorkbookViews>
</workbook>
</file>

<file path=xl/calcChain.xml><?xml version="1.0" encoding="utf-8"?>
<calcChain xmlns="http://schemas.openxmlformats.org/spreadsheetml/2006/main">
  <c r="E34" i="13" l="1"/>
  <c r="P5" i="13" l="1"/>
  <c r="E33" i="13"/>
  <c r="B26" i="13"/>
  <c r="B2" i="13"/>
  <c r="J36" i="13" l="1"/>
  <c r="C27" i="8" l="1"/>
  <c r="E3" i="12"/>
  <c r="E34" i="4"/>
  <c r="E33" i="4"/>
  <c r="K13" i="8"/>
  <c r="B2" i="12"/>
  <c r="F26" i="13" s="1"/>
  <c r="B1" i="12"/>
  <c r="B26" i="4"/>
  <c r="E16" i="4"/>
  <c r="E16" i="13" s="1"/>
  <c r="E15" i="4"/>
  <c r="E15" i="13" s="1"/>
  <c r="E14" i="4"/>
  <c r="E14" i="13" s="1"/>
  <c r="E13" i="4"/>
  <c r="E13" i="13" s="1"/>
  <c r="E18" i="13" l="1"/>
  <c r="A43" i="13"/>
  <c r="A1" i="13"/>
  <c r="A1" i="4"/>
  <c r="A43" i="4"/>
  <c r="B34" i="4"/>
  <c r="N27" i="8"/>
  <c r="E25" i="13" s="1"/>
  <c r="N22" i="8" l="1"/>
  <c r="N25" i="8" l="1"/>
  <c r="E20" i="4" s="1"/>
  <c r="E20" i="13" s="1"/>
  <c r="K16" i="8" l="1"/>
  <c r="F35" i="8" l="1"/>
  <c r="F16" i="8"/>
  <c r="B33" i="8" l="1"/>
  <c r="B14" i="8"/>
  <c r="F38" i="8" l="1"/>
  <c r="F40" i="8" s="1"/>
  <c r="E25" i="4"/>
  <c r="K34" i="8" l="1"/>
  <c r="K22" i="8"/>
  <c r="K27" i="8"/>
  <c r="K24" i="8"/>
  <c r="K23" i="8"/>
  <c r="K33" i="8"/>
  <c r="F26" i="4"/>
  <c r="K26" i="8"/>
  <c r="K28" i="8"/>
  <c r="K30" i="8"/>
  <c r="K25" i="8"/>
  <c r="K29" i="8"/>
  <c r="K31" i="8"/>
  <c r="K6" i="8" l="1"/>
  <c r="N26" i="8"/>
  <c r="J26" i="4" s="1"/>
  <c r="J24" i="4" l="1"/>
  <c r="N31" i="8"/>
  <c r="B2" i="4"/>
  <c r="B2" i="8"/>
  <c r="K36" i="8"/>
  <c r="G27" i="8"/>
  <c r="E26" i="8"/>
  <c r="K38" i="8"/>
  <c r="K37" i="8"/>
  <c r="K39" i="8"/>
  <c r="F20" i="8" l="1"/>
  <c r="F23" i="8"/>
  <c r="F25" i="8"/>
  <c r="P5" i="4" l="1"/>
  <c r="E18" i="4" l="1"/>
  <c r="N32" i="8" s="1"/>
  <c r="N28" i="8" l="1"/>
  <c r="N29" i="8"/>
  <c r="N30" i="8"/>
  <c r="N34" i="8" l="1"/>
  <c r="E26" i="4" l="1"/>
  <c r="E27" i="4" s="1"/>
  <c r="I3" i="13" s="1"/>
  <c r="E26" i="13"/>
  <c r="E27" i="13" s="1"/>
  <c r="P39" i="13" s="1"/>
  <c r="P38" i="4" l="1"/>
  <c r="P6" i="13"/>
  <c r="P7" i="13" s="1"/>
  <c r="P9" i="13" s="1"/>
  <c r="A30" i="13"/>
  <c r="B3" i="12"/>
  <c r="B33" i="4" s="1"/>
  <c r="P16" i="4"/>
  <c r="P6" i="4"/>
  <c r="P7" i="4" s="1"/>
  <c r="P9" i="4" s="1"/>
  <c r="P13" i="4" s="1"/>
  <c r="P16" i="13"/>
  <c r="K10" i="13" l="1"/>
  <c r="P13" i="13"/>
  <c r="P14" i="13" s="1"/>
  <c r="P17" i="13"/>
  <c r="F2" i="12"/>
  <c r="E35" i="4" s="1"/>
  <c r="F3" i="12"/>
  <c r="B32" i="4"/>
  <c r="B32" i="13"/>
  <c r="F4" i="12"/>
  <c r="B33" i="13"/>
  <c r="P14" i="4"/>
  <c r="P17" i="4"/>
  <c r="K10" i="4"/>
  <c r="P18" i="13" l="1"/>
  <c r="P20" i="13" s="1"/>
  <c r="P40" i="13" s="1"/>
  <c r="E35" i="13"/>
  <c r="P41" i="13" s="1"/>
  <c r="P18" i="4"/>
  <c r="P20" i="4" s="1"/>
  <c r="P40" i="4"/>
  <c r="P25" i="4"/>
  <c r="P37" i="13" l="1"/>
  <c r="P38" i="13" s="1"/>
  <c r="P24" i="13"/>
  <c r="P32" i="13" s="1"/>
  <c r="P33" i="13" s="1"/>
  <c r="P31" i="4"/>
  <c r="P30" i="4"/>
  <c r="F27" i="8"/>
  <c r="F29" i="8" s="1"/>
  <c r="F42" i="8" s="1"/>
  <c r="P25" i="13" l="1"/>
  <c r="P28" i="13" s="1"/>
  <c r="P29" i="13" s="1"/>
  <c r="I35" i="13" s="1"/>
  <c r="P26" i="4"/>
  <c r="P27" i="4" s="1"/>
  <c r="P32" i="4" s="1"/>
  <c r="E8" i="13"/>
  <c r="N38" i="8"/>
  <c r="N39" i="8" s="1"/>
  <c r="E8" i="4"/>
  <c r="I34" i="4" l="1"/>
  <c r="P39" i="4"/>
  <c r="P36" i="4" s="1"/>
  <c r="P37" i="4" s="1"/>
</calcChain>
</file>

<file path=xl/sharedStrings.xml><?xml version="1.0" encoding="utf-8"?>
<sst xmlns="http://schemas.openxmlformats.org/spreadsheetml/2006/main" count="172" uniqueCount="110">
  <si>
    <t>Taxes</t>
  </si>
  <si>
    <t>Insurance</t>
  </si>
  <si>
    <t>Gross Monthly Income</t>
  </si>
  <si>
    <t>Association Fee</t>
  </si>
  <si>
    <t>+</t>
  </si>
  <si>
    <t>months</t>
  </si>
  <si>
    <t>Requires Input</t>
  </si>
  <si>
    <t>New mortgage term</t>
  </si>
  <si>
    <t>Property value</t>
  </si>
  <si>
    <t>(i) Post-mod LTV = 115%</t>
  </si>
  <si>
    <t>New UPB</t>
  </si>
  <si>
    <t>Amount to forbear</t>
  </si>
  <si>
    <t>Forbearance</t>
  </si>
  <si>
    <t>Post-mod DTI</t>
  </si>
  <si>
    <t>Answer</t>
  </si>
  <si>
    <t>Remaining Term on Loan</t>
  </si>
  <si>
    <t>CURRENT MONTHLY PITIA AMOUNT</t>
  </si>
  <si>
    <t>Monthly PITIA Payment</t>
  </si>
  <si>
    <t>Linked Cell</t>
  </si>
  <si>
    <t>Formula Cell</t>
  </si>
  <si>
    <t>Post-mod P&amp;I payment</t>
  </si>
  <si>
    <t>Post-mod PITIA payment</t>
  </si>
  <si>
    <t>BORROWER INFORMATION</t>
  </si>
  <si>
    <t>Employment Income</t>
  </si>
  <si>
    <t>Rental income</t>
  </si>
  <si>
    <t>Subtotal</t>
  </si>
  <si>
    <t>Co-Borrower</t>
  </si>
  <si>
    <t>MORTGAGE INFORMATION</t>
  </si>
  <si>
    <t>Grossed up</t>
  </si>
  <si>
    <t>Rental Property?</t>
  </si>
  <si>
    <t>No</t>
  </si>
  <si>
    <t>Original Principal</t>
  </si>
  <si>
    <t>Estimated Value of Property</t>
  </si>
  <si>
    <t>Borrower Gross Monthly Income</t>
  </si>
  <si>
    <t>Unpaid Principal Balance</t>
  </si>
  <si>
    <t>Reduced by 25%</t>
  </si>
  <si>
    <t>Principal &amp; Interest</t>
  </si>
  <si>
    <t>Primary Residence</t>
  </si>
  <si>
    <t>Rental Property</t>
  </si>
  <si>
    <t>Loan Terms</t>
  </si>
  <si>
    <t>Date of First Payment</t>
  </si>
  <si>
    <t xml:space="preserve">Percent Reduction </t>
  </si>
  <si>
    <t>New interest-bearing principal balance</t>
  </si>
  <si>
    <t>CAPITALIZE THE ARREARAGE</t>
  </si>
  <si>
    <t xml:space="preserve"> months</t>
  </si>
  <si>
    <t>Timing of Employment Income</t>
  </si>
  <si>
    <t>Monthly Employment Income</t>
  </si>
  <si>
    <t>Monthly Contribution</t>
  </si>
  <si>
    <t>Monthly Fixed Income</t>
  </si>
  <si>
    <t>Monthly Property Taxes</t>
  </si>
  <si>
    <t>Monthly Homeowner's Insurance</t>
  </si>
  <si>
    <t>Monthly Association Fees</t>
  </si>
  <si>
    <t>UPB Information:</t>
  </si>
  <si>
    <t>Result Cell</t>
  </si>
  <si>
    <t>Cell Color Code</t>
  </si>
  <si>
    <t>(ii) 30% of capitalized UPB</t>
  </si>
  <si>
    <t>Monthly Untaxed Income</t>
  </si>
  <si>
    <t>Term in Months</t>
  </si>
  <si>
    <t>Owner Type</t>
  </si>
  <si>
    <t>MFY Legal Services Inc.'s Proprietary Waterfall Worksheet</t>
  </si>
  <si>
    <t>Current Interest Rate</t>
  </si>
  <si>
    <t>Capitalized UPB</t>
  </si>
  <si>
    <t>Current Principal Balance</t>
  </si>
  <si>
    <t>EXTEND THE TERM</t>
  </si>
  <si>
    <t>Rate Type</t>
  </si>
  <si>
    <t>Fixed Rate</t>
  </si>
  <si>
    <t>Amount of Forbearance</t>
  </si>
  <si>
    <t>TEST FOR AFFORDABILITY</t>
  </si>
  <si>
    <t>Arrears and UPB</t>
  </si>
  <si>
    <t>Forbear the lesser of….</t>
  </si>
  <si>
    <t>Principal Forbearance</t>
  </si>
  <si>
    <t>Post-Mod LTV</t>
  </si>
  <si>
    <t>Current as of FNMA Servicing Announcement 2015-12</t>
  </si>
  <si>
    <t>Current as of FDMC Servicing Bulletin 2015-15</t>
  </si>
  <si>
    <t>Only Default Date</t>
  </si>
  <si>
    <t>Is post-mod LTV greater than 115%?</t>
  </si>
  <si>
    <t>STEP 1: CAPITALIZE THE ARREARAGE</t>
  </si>
  <si>
    <t>Owner</t>
  </si>
  <si>
    <t>Fannie Mae</t>
  </si>
  <si>
    <t>Infotype</t>
  </si>
  <si>
    <t>Step Rate</t>
  </si>
  <si>
    <t>Lifetime Rate Cap</t>
  </si>
  <si>
    <t>Final Interest Rate</t>
  </si>
  <si>
    <t>Adjustable Rate</t>
  </si>
  <si>
    <t>Result</t>
  </si>
  <si>
    <t>MTMLTV</t>
  </si>
  <si>
    <t>Is post-mod LTV greater than 100%?</t>
  </si>
  <si>
    <t>(i) Post-mod LTV = 100%</t>
  </si>
  <si>
    <t>STEP 2: SET INTEREST RATE</t>
  </si>
  <si>
    <t>STEP 3: EXTEND THE TERM</t>
  </si>
  <si>
    <t>STEP 4: FORBEAR PRINCIPAL</t>
  </si>
  <si>
    <t>STEP 5: TEST FOR FURTHER FORBEARANCE</t>
  </si>
  <si>
    <t>Target Amortizing UPB for 20% P&amp;I Reduction</t>
  </si>
  <si>
    <t>Forbearance Limits</t>
  </si>
  <si>
    <t>MTMLTV at 80%</t>
  </si>
  <si>
    <t>30% of Post-Mod UPB</t>
  </si>
  <si>
    <t>Additional Forbearance</t>
  </si>
  <si>
    <t>New Principal Balance</t>
  </si>
  <si>
    <t>New P&amp;I Payment</t>
  </si>
  <si>
    <t>New PITIA Payment</t>
  </si>
  <si>
    <t>New Term</t>
  </si>
  <si>
    <t>New Interest Rate</t>
  </si>
  <si>
    <t>Current Rate</t>
  </si>
  <si>
    <t>Additional Forbearance Needed For Target</t>
  </si>
  <si>
    <t>(1) Is new DTI between 10% and 55%</t>
  </si>
  <si>
    <t>(2) Is new P&amp;I less than old P&amp;I?</t>
  </si>
  <si>
    <t>Current as of FNMA Lender Letter 2016-06</t>
  </si>
  <si>
    <t>Current as of FDMC Servicing Bulletin 2017-1</t>
  </si>
  <si>
    <t>Monthly</t>
  </si>
  <si>
    <t>BORROWER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</si>
</sst>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&quot;Yes&quot;;&quot;Yes&quot;;&quot;No&quot;"/>
    <numFmt numFmtId="167" formatCode="0.000%"/>
    <numFmt numFmtId="168" formatCode="_([$$-409]* #,##0.00_);_([$$-409]* \(#,##0.00\);_([$$-409]* &quot;-&quot;??_);_(@_)"/>
    <numFmt numFmtId="169" formatCode="_(&quot;$&quot;* #,##0.000_);_(&quot;$&quot;* \(#,##0.000\);_(&quot;$&quot;* &quot;-&quot;???_);_(@_)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i/>
      <sz val="10"/>
      <name val="Arial"/>
      <family val="2"/>
    </font>
    <font>
      <b/>
      <u/>
      <sz val="14"/>
      <name val="Times New Roman"/>
      <family val="1"/>
    </font>
    <font>
      <sz val="12"/>
      <name val="Arial"/>
      <family val="2"/>
    </font>
    <font>
      <u/>
      <sz val="10"/>
      <color indexed="12"/>
      <name val="Verdana"/>
      <family val="2"/>
    </font>
    <font>
      <b/>
      <u/>
      <sz val="10"/>
      <name val="Arial"/>
      <family val="2"/>
    </font>
    <font>
      <u/>
      <sz val="10"/>
      <color indexed="12"/>
      <name val="Verdana"/>
      <family val="2"/>
    </font>
    <font>
      <sz val="10"/>
      <color indexed="9"/>
      <name val="Arial"/>
      <family val="2"/>
    </font>
    <font>
      <b/>
      <u/>
      <sz val="12"/>
      <name val="Times New Roman"/>
      <family val="1"/>
    </font>
    <font>
      <i/>
      <sz val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Times New Roman"/>
      <family val="1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FFFF99"/>
        <bgColor indexed="64"/>
      </patternFill>
    </fill>
    <fill>
      <patternFill patternType="darkGray">
        <bgColor indexed="8"/>
      </patternFill>
    </fill>
    <fill>
      <patternFill patternType="darkGray">
        <bgColor theme="1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6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8" fillId="0" borderId="0" xfId="0" applyFont="1" applyBorder="1"/>
    <xf numFmtId="0" fontId="0" fillId="0" borderId="0" xfId="0" quotePrefix="1" applyBorder="1"/>
    <xf numFmtId="0" fontId="6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0" fillId="0" borderId="10" xfId="0" applyBorder="1"/>
    <xf numFmtId="0" fontId="12" fillId="0" borderId="0" xfId="0" applyFont="1" applyBorder="1"/>
    <xf numFmtId="0" fontId="13" fillId="0" borderId="0" xfId="2" applyFont="1" applyBorder="1" applyAlignment="1" applyProtection="1"/>
    <xf numFmtId="0" fontId="7" fillId="0" borderId="0" xfId="0" applyFont="1" applyBorder="1"/>
    <xf numFmtId="10" fontId="1" fillId="0" borderId="0" xfId="3" applyNumberFormat="1" applyFill="1" applyBorder="1"/>
    <xf numFmtId="0" fontId="3" fillId="0" borderId="0" xfId="0" applyFont="1"/>
    <xf numFmtId="0" fontId="0" fillId="0" borderId="13" xfId="0" applyBorder="1"/>
    <xf numFmtId="0" fontId="4" fillId="0" borderId="14" xfId="0" applyFont="1" applyBorder="1"/>
    <xf numFmtId="14" fontId="1" fillId="3" borderId="2" xfId="1" applyNumberFormat="1" applyFill="1" applyBorder="1" applyProtection="1">
      <protection locked="0"/>
    </xf>
    <xf numFmtId="1" fontId="1" fillId="2" borderId="2" xfId="1" applyNumberFormat="1" applyFill="1" applyBorder="1"/>
    <xf numFmtId="0" fontId="6" fillId="0" borderId="0" xfId="0" applyFont="1"/>
    <xf numFmtId="167" fontId="1" fillId="7" borderId="2" xfId="3" applyNumberFormat="1" applyFill="1" applyBorder="1" applyProtection="1">
      <protection locked="0"/>
    </xf>
    <xf numFmtId="44" fontId="1" fillId="3" borderId="2" xfId="4" applyFill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/>
    <xf numFmtId="165" fontId="1" fillId="7" borderId="2" xfId="1" applyNumberFormat="1" applyFill="1" applyBorder="1" applyAlignment="1" applyProtection="1">
      <alignment horizontal="right"/>
      <protection locked="0"/>
    </xf>
    <xf numFmtId="44" fontId="1" fillId="8" borderId="0" xfId="4" applyFill="1" applyBorder="1"/>
    <xf numFmtId="44" fontId="1" fillId="2" borderId="2" xfId="4" applyFill="1" applyBorder="1" applyAlignment="1"/>
    <xf numFmtId="44" fontId="1" fillId="2" borderId="2" xfId="4" applyFill="1" applyBorder="1" applyAlignment="1">
      <alignment horizontal="left"/>
    </xf>
    <xf numFmtId="44" fontId="1" fillId="3" borderId="2" xfId="4" applyFill="1" applyBorder="1" applyAlignment="1" applyProtection="1">
      <alignment horizontal="left"/>
      <protection locked="0"/>
    </xf>
    <xf numFmtId="44" fontId="0" fillId="0" borderId="0" xfId="4" applyFont="1" applyAlignment="1">
      <alignment horizontal="left"/>
    </xf>
    <xf numFmtId="44" fontId="1" fillId="0" borderId="0" xfId="4" applyFill="1" applyBorder="1" applyAlignment="1">
      <alignment horizontal="left"/>
    </xf>
    <xf numFmtId="44" fontId="3" fillId="0" borderId="0" xfId="4" applyFont="1" applyFill="1" applyBorder="1" applyAlignment="1">
      <alignment horizontal="left"/>
    </xf>
    <xf numFmtId="44" fontId="0" fillId="0" borderId="0" xfId="4" applyFont="1" applyBorder="1" applyAlignment="1">
      <alignment horizontal="left"/>
    </xf>
    <xf numFmtId="44" fontId="1" fillId="7" borderId="2" xfId="4" applyFill="1" applyBorder="1" applyAlignment="1" applyProtection="1">
      <protection locked="0"/>
    </xf>
    <xf numFmtId="44" fontId="0" fillId="10" borderId="1" xfId="4" applyFont="1" applyFill="1" applyBorder="1" applyAlignment="1" applyProtection="1">
      <alignment horizontal="right"/>
    </xf>
    <xf numFmtId="44" fontId="6" fillId="9" borderId="2" xfId="4" applyFont="1" applyFill="1" applyBorder="1" applyProtection="1"/>
    <xf numFmtId="0" fontId="0" fillId="7" borderId="2" xfId="0" applyFill="1" applyBorder="1" applyAlignment="1" applyProtection="1">
      <alignment horizontal="right"/>
      <protection locked="0"/>
    </xf>
    <xf numFmtId="44" fontId="0" fillId="7" borderId="2" xfId="4" applyFont="1" applyFill="1" applyBorder="1" applyAlignment="1" applyProtection="1">
      <alignment horizontal="left"/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6" borderId="5" xfId="0" applyFill="1" applyBorder="1" applyProtection="1"/>
    <xf numFmtId="0" fontId="0" fillId="0" borderId="0" xfId="0" applyProtection="1"/>
    <xf numFmtId="0" fontId="0" fillId="0" borderId="8" xfId="0" applyBorder="1" applyProtection="1"/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6" borderId="0" xfId="0" applyFill="1" applyBorder="1" applyProtection="1"/>
    <xf numFmtId="0" fontId="14" fillId="0" borderId="0" xfId="0" applyFont="1" applyBorder="1" applyProtection="1"/>
    <xf numFmtId="44" fontId="0" fillId="4" borderId="2" xfId="4" applyFont="1" applyFill="1" applyBorder="1" applyProtection="1"/>
    <xf numFmtId="10" fontId="0" fillId="2" borderId="2" xfId="0" applyNumberFormat="1" applyFill="1" applyBorder="1" applyProtection="1"/>
    <xf numFmtId="0" fontId="3" fillId="0" borderId="0" xfId="0" applyFont="1" applyBorder="1" applyProtection="1"/>
    <xf numFmtId="44" fontId="3" fillId="4" borderId="2" xfId="4" applyFont="1" applyFill="1" applyBorder="1" applyProtection="1"/>
    <xf numFmtId="43" fontId="0" fillId="0" borderId="0" xfId="0" applyNumberFormat="1" applyBorder="1" applyProtection="1"/>
    <xf numFmtId="0" fontId="3" fillId="2" borderId="2" xfId="0" applyFont="1" applyFill="1" applyBorder="1" applyAlignment="1" applyProtection="1">
      <alignment horizontal="right"/>
    </xf>
    <xf numFmtId="0" fontId="8" fillId="0" borderId="0" xfId="0" applyFont="1" applyBorder="1" applyProtection="1"/>
    <xf numFmtId="0" fontId="12" fillId="0" borderId="0" xfId="0" applyFont="1" applyBorder="1" applyProtection="1"/>
    <xf numFmtId="43" fontId="1" fillId="0" borderId="0" xfId="1" applyBorder="1" applyProtection="1"/>
    <xf numFmtId="165" fontId="5" fillId="0" borderId="0" xfId="1" applyNumberFormat="1" applyFont="1" applyBorder="1" applyProtection="1"/>
    <xf numFmtId="0" fontId="6" fillId="0" borderId="0" xfId="0" applyFont="1" applyBorder="1" applyProtection="1"/>
    <xf numFmtId="44" fontId="0" fillId="2" borderId="2" xfId="4" applyFont="1" applyFill="1" applyBorder="1" applyAlignment="1" applyProtection="1">
      <alignment horizontal="left"/>
    </xf>
    <xf numFmtId="44" fontId="1" fillId="4" borderId="2" xfId="4" applyFill="1" applyBorder="1" applyProtection="1"/>
    <xf numFmtId="0" fontId="0" fillId="0" borderId="0" xfId="0" quotePrefix="1" applyBorder="1" applyProtection="1"/>
    <xf numFmtId="44" fontId="0" fillId="0" borderId="0" xfId="4" applyFont="1" applyBorder="1" applyAlignment="1" applyProtection="1">
      <alignment horizontal="left"/>
    </xf>
    <xf numFmtId="0" fontId="0" fillId="0" borderId="0" xfId="0" applyFont="1" applyFill="1" applyBorder="1" applyProtection="1"/>
    <xf numFmtId="44" fontId="3" fillId="2" borderId="2" xfId="4" applyFont="1" applyFill="1" applyBorder="1" applyProtection="1"/>
    <xf numFmtId="0" fontId="3" fillId="0" borderId="0" xfId="0" applyFont="1" applyFill="1" applyBorder="1" applyProtection="1"/>
    <xf numFmtId="44" fontId="6" fillId="2" borderId="2" xfId="4" applyFont="1" applyFill="1" applyBorder="1" applyAlignment="1" applyProtection="1">
      <alignment horizontal="left"/>
    </xf>
    <xf numFmtId="10" fontId="1" fillId="0" borderId="0" xfId="3" applyNumberFormat="1" applyBorder="1" applyProtection="1"/>
    <xf numFmtId="0" fontId="6" fillId="6" borderId="0" xfId="0" applyFont="1" applyFill="1" applyBorder="1" applyProtection="1"/>
    <xf numFmtId="10" fontId="3" fillId="0" borderId="0" xfId="1" applyNumberFormat="1" applyFont="1" applyBorder="1" applyProtection="1"/>
    <xf numFmtId="164" fontId="5" fillId="0" borderId="0" xfId="1" applyNumberFormat="1" applyFont="1" applyBorder="1" applyAlignment="1" applyProtection="1">
      <alignment horizontal="center"/>
    </xf>
    <xf numFmtId="0" fontId="0" fillId="0" borderId="10" xfId="0" applyBorder="1" applyProtection="1"/>
    <xf numFmtId="166" fontId="6" fillId="3" borderId="2" xfId="0" applyNumberFormat="1" applyFont="1" applyFill="1" applyBorder="1" applyAlignment="1" applyProtection="1">
      <alignment horizontal="right"/>
      <protection locked="0"/>
    </xf>
    <xf numFmtId="44" fontId="1" fillId="8" borderId="0" xfId="4" applyFill="1" applyBorder="1" applyAlignment="1">
      <alignment horizontal="left"/>
    </xf>
    <xf numFmtId="44" fontId="1" fillId="4" borderId="12" xfId="4" applyFill="1" applyBorder="1" applyProtection="1"/>
    <xf numFmtId="44" fontId="3" fillId="2" borderId="15" xfId="4" applyFont="1" applyFill="1" applyBorder="1" applyProtection="1"/>
    <xf numFmtId="44" fontId="1" fillId="8" borderId="16" xfId="4" applyFill="1" applyBorder="1" applyProtection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8" fontId="1" fillId="3" borderId="2" xfId="4" applyNumberFormat="1" applyFill="1" applyBorder="1" applyAlignment="1" applyProtection="1">
      <alignment horizontal="left"/>
      <protection locked="0"/>
    </xf>
    <xf numFmtId="0" fontId="1" fillId="0" borderId="0" xfId="0" quotePrefix="1" applyFont="1" applyBorder="1" applyProtection="1"/>
    <xf numFmtId="0" fontId="1" fillId="0" borderId="0" xfId="0" applyFont="1" applyBorder="1" applyProtection="1"/>
    <xf numFmtId="0" fontId="3" fillId="8" borderId="0" xfId="0" applyFont="1" applyFill="1" applyBorder="1" applyProtection="1"/>
    <xf numFmtId="0" fontId="17" fillId="0" borderId="5" xfId="0" applyFont="1" applyBorder="1" applyProtection="1">
      <protection hidden="1"/>
    </xf>
    <xf numFmtId="0" fontId="0" fillId="8" borderId="0" xfId="0" applyFill="1" applyProtection="1"/>
    <xf numFmtId="0" fontId="3" fillId="0" borderId="10" xfId="0" applyFont="1" applyBorder="1"/>
    <xf numFmtId="44" fontId="1" fillId="8" borderId="10" xfId="4" applyFill="1" applyBorder="1"/>
    <xf numFmtId="0" fontId="4" fillId="0" borderId="10" xfId="0" applyFont="1" applyBorder="1"/>
    <xf numFmtId="44" fontId="1" fillId="8" borderId="10" xfId="4" applyFill="1" applyBorder="1" applyAlignment="1">
      <alignment horizontal="left"/>
    </xf>
    <xf numFmtId="0" fontId="16" fillId="0" borderId="10" xfId="0" applyFont="1" applyBorder="1" applyAlignment="1" applyProtection="1">
      <alignment horizontal="right" vertical="top"/>
      <protection hidden="1"/>
    </xf>
    <xf numFmtId="0" fontId="0" fillId="0" borderId="10" xfId="0" applyBorder="1" applyProtection="1">
      <protection locked="0"/>
    </xf>
    <xf numFmtId="44" fontId="1" fillId="4" borderId="12" xfId="4" applyFill="1" applyBorder="1" applyAlignment="1" applyProtection="1"/>
    <xf numFmtId="0" fontId="0" fillId="8" borderId="0" xfId="0" applyFill="1" applyBorder="1" applyProtection="1"/>
    <xf numFmtId="0" fontId="17" fillId="0" borderId="5" xfId="0" applyFont="1" applyBorder="1" applyAlignment="1" applyProtection="1">
      <protection hidden="1"/>
    </xf>
    <xf numFmtId="0" fontId="3" fillId="0" borderId="0" xfId="0" applyFont="1" applyBorder="1" applyAlignment="1"/>
    <xf numFmtId="44" fontId="0" fillId="0" borderId="0" xfId="4" applyFont="1" applyFill="1"/>
    <xf numFmtId="44" fontId="0" fillId="0" borderId="0" xfId="0" applyNumberFormat="1" applyFill="1"/>
    <xf numFmtId="169" fontId="0" fillId="0" borderId="0" xfId="0" applyNumberFormat="1" applyFill="1"/>
    <xf numFmtId="9" fontId="0" fillId="0" borderId="0" xfId="0" applyNumberFormat="1"/>
    <xf numFmtId="14" fontId="1" fillId="2" borderId="15" xfId="1" applyNumberFormat="1" applyFill="1" applyBorder="1"/>
    <xf numFmtId="0" fontId="17" fillId="8" borderId="6" xfId="0" applyFont="1" applyFill="1" applyBorder="1"/>
    <xf numFmtId="0" fontId="17" fillId="8" borderId="7" xfId="0" applyFont="1" applyFill="1" applyBorder="1"/>
    <xf numFmtId="0" fontId="17" fillId="8" borderId="11" xfId="0" applyFont="1" applyFill="1" applyBorder="1"/>
    <xf numFmtId="0" fontId="7" fillId="0" borderId="0" xfId="0" applyFont="1" applyBorder="1" applyProtection="1"/>
    <xf numFmtId="43" fontId="0" fillId="0" borderId="0" xfId="0" applyNumberForma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16" fillId="0" borderId="10" xfId="0" applyFont="1" applyBorder="1" applyAlignment="1" applyProtection="1">
      <alignment horizontal="right"/>
    </xf>
    <xf numFmtId="0" fontId="0" fillId="8" borderId="7" xfId="0" applyFill="1" applyBorder="1" applyProtection="1"/>
    <xf numFmtId="0" fontId="6" fillId="8" borderId="7" xfId="0" applyFont="1" applyFill="1" applyBorder="1" applyProtection="1"/>
    <xf numFmtId="0" fontId="18" fillId="0" borderId="0" xfId="2" applyFont="1" applyBorder="1" applyAlignment="1" applyProtection="1"/>
    <xf numFmtId="0" fontId="0" fillId="8" borderId="11" xfId="0" applyFill="1" applyBorder="1" applyProtection="1"/>
    <xf numFmtId="0" fontId="0" fillId="8" borderId="18" xfId="0" applyFill="1" applyBorder="1" applyProtection="1"/>
    <xf numFmtId="44" fontId="1" fillId="2" borderId="15" xfId="4" applyFill="1" applyBorder="1" applyAlignment="1">
      <alignment horizontal="left"/>
    </xf>
    <xf numFmtId="0" fontId="1" fillId="0" borderId="0" xfId="0" applyFont="1" applyFill="1" applyBorder="1"/>
    <xf numFmtId="0" fontId="1" fillId="0" borderId="0" xfId="5" applyBorder="1"/>
    <xf numFmtId="0" fontId="1" fillId="0" borderId="0" xfId="5" applyFont="1" applyBorder="1"/>
    <xf numFmtId="44" fontId="1" fillId="3" borderId="2" xfId="4" applyFill="1" applyBorder="1" applyAlignment="1" applyProtection="1">
      <alignment horizontal="left"/>
      <protection locked="0"/>
    </xf>
    <xf numFmtId="44" fontId="1" fillId="3" borderId="12" xfId="4" applyFill="1" applyBorder="1" applyAlignment="1" applyProtection="1">
      <alignment horizontal="left"/>
      <protection locked="0"/>
    </xf>
    <xf numFmtId="44" fontId="1" fillId="2" borderId="12" xfId="4" applyFill="1" applyBorder="1" applyAlignment="1">
      <alignment horizontal="left"/>
    </xf>
    <xf numFmtId="44" fontId="1" fillId="8" borderId="16" xfId="4" applyFill="1" applyBorder="1" applyAlignment="1">
      <alignment horizontal="left"/>
    </xf>
    <xf numFmtId="44" fontId="1" fillId="7" borderId="2" xfId="4" applyFont="1" applyFill="1" applyBorder="1" applyAlignment="1" applyProtection="1">
      <alignment horizontal="right"/>
      <protection locked="0"/>
    </xf>
    <xf numFmtId="14" fontId="1" fillId="7" borderId="2" xfId="4" applyNumberFormat="1" applyFont="1" applyFill="1" applyBorder="1" applyAlignment="1" applyProtection="1">
      <alignment horizontal="right"/>
      <protection locked="0"/>
    </xf>
    <xf numFmtId="44" fontId="1" fillId="12" borderId="2" xfId="4" applyFill="1" applyBorder="1" applyAlignment="1" applyProtection="1">
      <alignment horizontal="left"/>
    </xf>
    <xf numFmtId="0" fontId="18" fillId="3" borderId="2" xfId="0" applyFont="1" applyFill="1" applyBorder="1" applyAlignment="1">
      <alignment horizontal="center"/>
    </xf>
    <xf numFmtId="0" fontId="18" fillId="9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10" borderId="22" xfId="0" applyFont="1" applyFill="1" applyBorder="1" applyAlignment="1">
      <alignment horizontal="center"/>
    </xf>
    <xf numFmtId="44" fontId="0" fillId="12" borderId="2" xfId="0" applyNumberFormat="1" applyFill="1" applyBorder="1" applyProtection="1"/>
    <xf numFmtId="0" fontId="0" fillId="9" borderId="2" xfId="0" applyFill="1" applyBorder="1" applyProtection="1"/>
    <xf numFmtId="44" fontId="1" fillId="9" borderId="2" xfId="4" applyFill="1" applyBorder="1" applyProtection="1"/>
    <xf numFmtId="0" fontId="16" fillId="8" borderId="9" xfId="0" applyFont="1" applyFill="1" applyBorder="1"/>
    <xf numFmtId="0" fontId="0" fillId="13" borderId="0" xfId="0" applyFill="1" applyBorder="1"/>
    <xf numFmtId="0" fontId="0" fillId="14" borderId="0" xfId="0" applyFill="1" applyBorder="1"/>
    <xf numFmtId="0" fontId="6" fillId="13" borderId="0" xfId="0" applyFont="1" applyFill="1" applyBorder="1"/>
    <xf numFmtId="0" fontId="0" fillId="13" borderId="5" xfId="0" applyFill="1" applyBorder="1"/>
    <xf numFmtId="0" fontId="0" fillId="13" borderId="10" xfId="0" applyFill="1" applyBorder="1"/>
    <xf numFmtId="0" fontId="18" fillId="7" borderId="2" xfId="0" applyFont="1" applyFill="1" applyBorder="1" applyAlignment="1" applyProtection="1">
      <alignment horizontal="right" vertical="center"/>
      <protection locked="0"/>
    </xf>
    <xf numFmtId="0" fontId="1" fillId="7" borderId="2" xfId="0" applyFont="1" applyFill="1" applyBorder="1" applyAlignment="1" applyProtection="1">
      <alignment horizontal="right" vertical="center"/>
      <protection locked="0"/>
    </xf>
    <xf numFmtId="44" fontId="1" fillId="5" borderId="3" xfId="4" applyFill="1" applyBorder="1" applyAlignment="1">
      <alignment horizontal="left" vertical="center"/>
    </xf>
    <xf numFmtId="0" fontId="6" fillId="0" borderId="0" xfId="0" applyFont="1" applyAlignment="1"/>
    <xf numFmtId="44" fontId="17" fillId="8" borderId="0" xfId="4" applyFont="1" applyFill="1" applyBorder="1" applyAlignment="1">
      <alignment horizontal="left" vertical="center"/>
    </xf>
    <xf numFmtId="9" fontId="0" fillId="0" borderId="0" xfId="3" applyFont="1" applyBorder="1" applyProtection="1"/>
    <xf numFmtId="9" fontId="3" fillId="0" borderId="0" xfId="3" applyFont="1" applyBorder="1" applyProtection="1"/>
    <xf numFmtId="9" fontId="3" fillId="0" borderId="0" xfId="3" applyFont="1" applyBorder="1" applyAlignment="1" applyProtection="1">
      <alignment horizontal="center"/>
    </xf>
    <xf numFmtId="0" fontId="18" fillId="0" borderId="0" xfId="0" applyFont="1" applyBorder="1"/>
    <xf numFmtId="0" fontId="18" fillId="0" borderId="0" xfId="0" applyFont="1"/>
    <xf numFmtId="44" fontId="18" fillId="7" borderId="2" xfId="4" applyFont="1" applyFill="1" applyBorder="1" applyAlignment="1" applyProtection="1">
      <alignment horizontal="left"/>
      <protection locked="0"/>
    </xf>
    <xf numFmtId="44" fontId="18" fillId="7" borderId="2" xfId="4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165" fontId="0" fillId="4" borderId="2" xfId="1" applyNumberFormat="1" applyFont="1" applyFill="1" applyBorder="1" applyProtection="1"/>
    <xf numFmtId="167" fontId="18" fillId="7" borderId="2" xfId="3" applyNumberFormat="1" applyFont="1" applyFill="1" applyBorder="1" applyAlignment="1" applyProtection="1">
      <alignment horizontal="right"/>
      <protection locked="0"/>
    </xf>
    <xf numFmtId="167" fontId="3" fillId="9" borderId="2" xfId="3" applyNumberFormat="1" applyFont="1" applyFill="1" applyBorder="1" applyProtection="1"/>
    <xf numFmtId="167" fontId="22" fillId="9" borderId="2" xfId="3" applyNumberFormat="1" applyFont="1" applyFill="1" applyBorder="1" applyProtection="1">
      <protection locked="0"/>
    </xf>
    <xf numFmtId="167" fontId="22" fillId="9" borderId="2" xfId="3" applyNumberFormat="1" applyFont="1" applyFill="1" applyBorder="1" applyProtection="1"/>
    <xf numFmtId="0" fontId="1" fillId="0" borderId="0" xfId="0" applyFont="1" applyProtection="1"/>
    <xf numFmtId="0" fontId="1" fillId="0" borderId="0" xfId="0" applyFont="1" applyFill="1" applyBorder="1" applyProtection="1"/>
    <xf numFmtId="44" fontId="1" fillId="8" borderId="0" xfId="4" applyFont="1" applyFill="1" applyBorder="1" applyProtection="1"/>
    <xf numFmtId="44" fontId="1" fillId="10" borderId="2" xfId="4" applyFont="1" applyFill="1" applyBorder="1" applyAlignment="1" applyProtection="1">
      <alignment horizontal="right"/>
    </xf>
    <xf numFmtId="44" fontId="1" fillId="10" borderId="2" xfId="0" applyNumberFormat="1" applyFont="1" applyFill="1" applyBorder="1" applyAlignment="1" applyProtection="1">
      <alignment horizontal="right"/>
    </xf>
    <xf numFmtId="44" fontId="1" fillId="10" borderId="2" xfId="4" applyFont="1" applyFill="1" applyBorder="1" applyProtection="1"/>
    <xf numFmtId="167" fontId="1" fillId="10" borderId="2" xfId="0" applyNumberFormat="1" applyFont="1" applyFill="1" applyBorder="1" applyAlignment="1" applyProtection="1">
      <alignment horizontal="right"/>
    </xf>
    <xf numFmtId="0" fontId="0" fillId="10" borderId="2" xfId="0" applyFill="1" applyBorder="1" applyProtection="1"/>
    <xf numFmtId="44" fontId="6" fillId="12" borderId="2" xfId="4" applyFont="1" applyFill="1" applyBorder="1" applyProtection="1"/>
    <xf numFmtId="44" fontId="0" fillId="12" borderId="2" xfId="4" applyFont="1" applyFill="1" applyBorder="1" applyProtection="1"/>
    <xf numFmtId="44" fontId="1" fillId="10" borderId="15" xfId="4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10" fontId="0" fillId="8" borderId="0" xfId="3" applyNumberFormat="1" applyFont="1" applyFill="1" applyBorder="1" applyProtection="1">
      <protection locked="0"/>
    </xf>
    <xf numFmtId="0" fontId="12" fillId="0" borderId="0" xfId="0" applyFont="1" applyAlignment="1" applyProtection="1"/>
    <xf numFmtId="0" fontId="12" fillId="0" borderId="7" xfId="0" applyFont="1" applyBorder="1" applyAlignment="1" applyProtection="1"/>
    <xf numFmtId="0" fontId="3" fillId="0" borderId="0" xfId="0" applyFont="1" applyAlignment="1" applyProtection="1"/>
    <xf numFmtId="167" fontId="1" fillId="3" borderId="2" xfId="3" applyNumberFormat="1" applyFont="1" applyFill="1" applyBorder="1" applyAlignment="1" applyProtection="1">
      <alignment vertical="center"/>
      <protection locked="0"/>
    </xf>
    <xf numFmtId="0" fontId="1" fillId="0" borderId="0" xfId="5" applyProtection="1"/>
    <xf numFmtId="0" fontId="1" fillId="0" borderId="4" xfId="5" applyBorder="1" applyProtection="1"/>
    <xf numFmtId="0" fontId="17" fillId="0" borderId="5" xfId="5" applyFont="1" applyBorder="1" applyProtection="1">
      <protection hidden="1"/>
    </xf>
    <xf numFmtId="0" fontId="1" fillId="0" borderId="5" xfId="5" applyBorder="1" applyProtection="1"/>
    <xf numFmtId="0" fontId="1" fillId="6" borderId="5" xfId="5" applyFill="1" applyBorder="1" applyProtection="1"/>
    <xf numFmtId="0" fontId="1" fillId="8" borderId="18" xfId="5" applyFill="1" applyBorder="1" applyProtection="1"/>
    <xf numFmtId="0" fontId="1" fillId="0" borderId="8" xfId="5" applyBorder="1" applyProtection="1"/>
    <xf numFmtId="0" fontId="9" fillId="0" borderId="0" xfId="5" applyFont="1" applyBorder="1" applyAlignment="1" applyProtection="1">
      <alignment vertical="center"/>
    </xf>
    <xf numFmtId="0" fontId="1" fillId="0" borderId="0" xfId="5" applyBorder="1" applyProtection="1"/>
    <xf numFmtId="0" fontId="1" fillId="0" borderId="0" xfId="5" applyFill="1" applyBorder="1" applyProtection="1"/>
    <xf numFmtId="0" fontId="1" fillId="6" borderId="0" xfId="5" applyFill="1" applyBorder="1" applyProtection="1"/>
    <xf numFmtId="0" fontId="1" fillId="8" borderId="7" xfId="5" applyFill="1" applyBorder="1" applyProtection="1"/>
    <xf numFmtId="0" fontId="18" fillId="3" borderId="2" xfId="5" applyFont="1" applyFill="1" applyBorder="1" applyAlignment="1">
      <alignment horizontal="center"/>
    </xf>
    <xf numFmtId="0" fontId="18" fillId="9" borderId="2" xfId="5" applyFont="1" applyFill="1" applyBorder="1" applyAlignment="1">
      <alignment horizontal="center"/>
    </xf>
    <xf numFmtId="0" fontId="14" fillId="0" borderId="0" xfId="5" applyFont="1" applyBorder="1" applyProtection="1"/>
    <xf numFmtId="0" fontId="18" fillId="2" borderId="2" xfId="5" applyFont="1" applyFill="1" applyBorder="1" applyAlignment="1">
      <alignment horizontal="center"/>
    </xf>
    <xf numFmtId="0" fontId="18" fillId="10" borderId="2" xfId="5" applyFont="1" applyFill="1" applyBorder="1" applyAlignment="1">
      <alignment horizontal="center"/>
    </xf>
    <xf numFmtId="0" fontId="1" fillId="0" borderId="0" xfId="5" applyFont="1" applyBorder="1" applyProtection="1"/>
    <xf numFmtId="0" fontId="1" fillId="8" borderId="7" xfId="5" applyFont="1" applyFill="1" applyBorder="1" applyProtection="1"/>
    <xf numFmtId="10" fontId="1" fillId="2" borderId="2" xfId="5" applyNumberFormat="1" applyFill="1" applyBorder="1" applyProtection="1"/>
    <xf numFmtId="0" fontId="7" fillId="0" borderId="0" xfId="5" applyFont="1" applyBorder="1" applyProtection="1"/>
    <xf numFmtId="0" fontId="3" fillId="0" borderId="0" xfId="5" applyFont="1" applyBorder="1" applyProtection="1"/>
    <xf numFmtId="43" fontId="1" fillId="0" borderId="0" xfId="5" applyNumberFormat="1" applyBorder="1" applyProtection="1"/>
    <xf numFmtId="0" fontId="3" fillId="2" borderId="2" xfId="5" applyFont="1" applyFill="1" applyBorder="1" applyAlignment="1" applyProtection="1">
      <alignment horizontal="right"/>
    </xf>
    <xf numFmtId="0" fontId="8" fillId="0" borderId="0" xfId="5" applyFont="1" applyBorder="1" applyProtection="1"/>
    <xf numFmtId="0" fontId="12" fillId="0" borderId="0" xfId="5" applyFont="1" applyBorder="1" applyProtection="1"/>
    <xf numFmtId="0" fontId="1" fillId="0" borderId="0" xfId="5" quotePrefix="1" applyBorder="1" applyProtection="1"/>
    <xf numFmtId="44" fontId="1" fillId="12" borderId="2" xfId="5" applyNumberFormat="1" applyFill="1" applyBorder="1" applyProtection="1"/>
    <xf numFmtId="0" fontId="1" fillId="0" borderId="0" xfId="5" applyFont="1" applyFill="1" applyBorder="1" applyProtection="1"/>
    <xf numFmtId="0" fontId="3" fillId="0" borderId="0" xfId="5" applyFont="1" applyFill="1" applyBorder="1" applyProtection="1"/>
    <xf numFmtId="44" fontId="1" fillId="2" borderId="2" xfId="4" applyFont="1" applyFill="1" applyBorder="1" applyAlignment="1" applyProtection="1">
      <alignment horizontal="left"/>
    </xf>
    <xf numFmtId="0" fontId="1" fillId="4" borderId="2" xfId="5" applyFill="1" applyBorder="1" applyProtection="1"/>
    <xf numFmtId="0" fontId="3" fillId="8" borderId="0" xfId="5" applyFont="1" applyFill="1" applyBorder="1" applyProtection="1"/>
    <xf numFmtId="0" fontId="1" fillId="8" borderId="0" xfId="5" applyFill="1" applyBorder="1" applyProtection="1"/>
    <xf numFmtId="44" fontId="1" fillId="2" borderId="2" xfId="4" applyFont="1" applyFill="1" applyBorder="1" applyProtection="1"/>
    <xf numFmtId="0" fontId="1" fillId="0" borderId="0" xfId="5" quotePrefix="1" applyFont="1" applyBorder="1" applyProtection="1"/>
    <xf numFmtId="0" fontId="3" fillId="8" borderId="0" xfId="5" applyFont="1" applyFill="1" applyBorder="1" applyAlignment="1" applyProtection="1">
      <alignment horizontal="right"/>
    </xf>
    <xf numFmtId="0" fontId="1" fillId="6" borderId="0" xfId="5" applyFont="1" applyFill="1" applyBorder="1" applyProtection="1"/>
    <xf numFmtId="43" fontId="1" fillId="0" borderId="0" xfId="5" applyNumberFormat="1" applyFill="1" applyBorder="1" applyProtection="1"/>
    <xf numFmtId="0" fontId="1" fillId="9" borderId="2" xfId="5" applyFill="1" applyBorder="1" applyProtection="1"/>
    <xf numFmtId="0" fontId="16" fillId="8" borderId="9" xfId="5" applyFont="1" applyFill="1" applyBorder="1"/>
    <xf numFmtId="0" fontId="1" fillId="0" borderId="10" xfId="5" applyBorder="1" applyProtection="1"/>
    <xf numFmtId="0" fontId="16" fillId="0" borderId="10" xfId="5" applyFont="1" applyBorder="1" applyAlignment="1" applyProtection="1">
      <alignment horizontal="right"/>
    </xf>
    <xf numFmtId="0" fontId="1" fillId="8" borderId="11" xfId="5" applyFill="1" applyBorder="1" applyProtection="1"/>
    <xf numFmtId="0" fontId="1" fillId="8" borderId="0" xfId="5" applyFill="1" applyProtection="1"/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0" xfId="2" applyAlignment="1" applyProtection="1">
      <alignment horizontal="left" vertical="center"/>
    </xf>
    <xf numFmtId="0" fontId="21" fillId="0" borderId="0" xfId="2" applyFont="1" applyAlignment="1" applyProtection="1">
      <alignment horizontal="left" vertical="center"/>
    </xf>
    <xf numFmtId="0" fontId="21" fillId="0" borderId="0" xfId="2" applyFont="1" applyBorder="1" applyAlignment="1" applyProtection="1">
      <alignment horizontal="left" vertical="center"/>
    </xf>
    <xf numFmtId="0" fontId="20" fillId="0" borderId="0" xfId="2" applyFont="1" applyBorder="1" applyAlignment="1" applyProtection="1">
      <alignment horizontal="left" vertic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9" fillId="11" borderId="4" xfId="0" applyFont="1" applyFill="1" applyBorder="1" applyAlignment="1" applyProtection="1">
      <alignment horizontal="center"/>
    </xf>
    <xf numFmtId="0" fontId="19" fillId="11" borderId="5" xfId="0" applyFont="1" applyFill="1" applyBorder="1" applyAlignment="1" applyProtection="1">
      <alignment horizontal="center"/>
    </xf>
    <xf numFmtId="0" fontId="19" fillId="11" borderId="6" xfId="0" applyFont="1" applyFill="1" applyBorder="1" applyAlignment="1" applyProtection="1">
      <alignment horizontal="center"/>
    </xf>
    <xf numFmtId="0" fontId="12" fillId="0" borderId="1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7" xfId="5" applyFont="1" applyBorder="1" applyAlignment="1">
      <alignment horizontal="center" vertical="center"/>
    </xf>
    <xf numFmtId="0" fontId="3" fillId="0" borderId="16" xfId="5" applyFont="1" applyBorder="1" applyAlignment="1">
      <alignment horizontal="center" vertical="center"/>
    </xf>
    <xf numFmtId="0" fontId="3" fillId="0" borderId="18" xfId="5" applyFont="1" applyBorder="1" applyAlignment="1">
      <alignment horizontal="center" vertical="center"/>
    </xf>
    <xf numFmtId="0" fontId="3" fillId="8" borderId="17" xfId="5" applyFont="1" applyFill="1" applyBorder="1" applyAlignment="1" applyProtection="1">
      <alignment horizontal="center"/>
    </xf>
    <xf numFmtId="0" fontId="3" fillId="8" borderId="16" xfId="5" applyFont="1" applyFill="1" applyBorder="1" applyAlignment="1" applyProtection="1">
      <alignment horizontal="center"/>
    </xf>
    <xf numFmtId="0" fontId="3" fillId="8" borderId="18" xfId="5" applyFont="1" applyFill="1" applyBorder="1" applyAlignment="1" applyProtection="1">
      <alignment horizontal="center"/>
    </xf>
    <xf numFmtId="0" fontId="19" fillId="11" borderId="4" xfId="5" applyFont="1" applyFill="1" applyBorder="1" applyAlignment="1" applyProtection="1">
      <alignment horizontal="center"/>
    </xf>
    <xf numFmtId="0" fontId="19" fillId="11" borderId="5" xfId="5" applyFont="1" applyFill="1" applyBorder="1" applyAlignment="1" applyProtection="1">
      <alignment horizontal="center"/>
    </xf>
    <xf numFmtId="0" fontId="19" fillId="11" borderId="6" xfId="5" applyFont="1" applyFill="1" applyBorder="1" applyAlignment="1" applyProtection="1">
      <alignment horizontal="center"/>
    </xf>
    <xf numFmtId="0" fontId="12" fillId="0" borderId="10" xfId="5" applyFont="1" applyBorder="1" applyAlignment="1">
      <alignment horizontal="center" vertical="center"/>
    </xf>
  </cellXfs>
  <cellStyles count="6">
    <cellStyle name="Comma" xfId="1" builtinId="3"/>
    <cellStyle name="Currency" xfId="4" builtinId="4"/>
    <cellStyle name="Hyperlink" xfId="2" builtinId="8"/>
    <cellStyle name="Normal" xfId="0" builtinId="0"/>
    <cellStyle name="Normal 2" xfId="5"/>
    <cellStyle name="Percent" xfId="3" builtinId="5"/>
  </cellStyles>
  <dxfs count="30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b val="0"/>
        <i/>
      </font>
    </dxf>
    <dxf>
      <font>
        <b/>
        <i val="0"/>
        <color theme="5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b val="0"/>
        <i/>
      </font>
    </dxf>
    <dxf>
      <font>
        <color auto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colors>
    <mruColors>
      <color rgb="FF0000FF"/>
      <color rgb="FFFFFF99"/>
      <color rgb="FFCC99FF"/>
      <color rgb="FFCCFFCC"/>
      <color rgb="FFCCFFFF"/>
      <color rgb="FFCCECFF"/>
      <color rgb="FFA7A7A7"/>
      <color rgb="FFFFFF66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ebella\AppData\Local\Microsoft\Windows\Temporary%20Internet%20Files\Content.Outlook\X54QRG82\Waterfall%20Worksheet%20-%20HAMP%20&amp;%20GSE%20Standard%20Modific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yfs2\Documents%20and%20Settings\nwoods\Local%20Settings\Temporary%20Internet%20Files\OLK141\HAMP%20Waterfall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lex Mod"/>
      <sheetName val="Standard"/>
      <sheetName val="Calculations"/>
      <sheetName val="Data Validation"/>
      <sheetName val="2MP"/>
    </sheetNames>
    <sheetDataSet>
      <sheetData sheetId="0">
        <row r="6">
          <cell r="N6" t="str">
            <v>Ocwen</v>
          </cell>
        </row>
      </sheetData>
      <sheetData sheetId="1">
        <row r="14">
          <cell r="E14">
            <v>300</v>
          </cell>
        </row>
      </sheetData>
      <sheetData sheetId="2"/>
      <sheetData sheetId="3"/>
      <sheetData sheetId="4">
        <row r="15">
          <cell r="J15" t="str">
            <v>Worksheet HAMP</v>
          </cell>
          <cell r="K15" t="str">
            <v>Worksheet Std. Mod.</v>
          </cell>
          <cell r="L15" t="str">
            <v>Custom</v>
          </cell>
        </row>
        <row r="16">
          <cell r="I16" t="str">
            <v>Initial P&amp;I Payment</v>
          </cell>
          <cell r="J16">
            <v>179.55169957078758</v>
          </cell>
          <cell r="K16">
            <v>242.2115997995937</v>
          </cell>
          <cell r="L16">
            <v>411.13195323341853</v>
          </cell>
        </row>
        <row r="17">
          <cell r="I17" t="str">
            <v>Principal Balance</v>
          </cell>
          <cell r="J17">
            <v>95790.314353250869</v>
          </cell>
          <cell r="K17">
            <v>95790.314353250869</v>
          </cell>
          <cell r="L17">
            <v>95790.314353250869</v>
          </cell>
        </row>
        <row r="18">
          <cell r="I18" t="str">
            <v>Principal Forbearance</v>
          </cell>
          <cell r="J18">
            <v>24780.859154668546</v>
          </cell>
          <cell r="K18">
            <v>0</v>
          </cell>
          <cell r="L18">
            <v>2708.7319649292021</v>
          </cell>
        </row>
        <row r="19">
          <cell r="I19" t="str">
            <v>Initial Rate</v>
          </cell>
          <cell r="J19">
            <v>0.01</v>
          </cell>
          <cell r="K19">
            <v>0.01</v>
          </cell>
          <cell r="L19">
            <v>0.01</v>
          </cell>
        </row>
        <row r="20">
          <cell r="I20" t="str">
            <v>Term</v>
          </cell>
          <cell r="J20">
            <v>480</v>
          </cell>
          <cell r="K20">
            <v>480</v>
          </cell>
          <cell r="L20">
            <v>251</v>
          </cell>
        </row>
        <row r="21">
          <cell r="I21" t="str">
            <v>Step 2 Rate</v>
          </cell>
          <cell r="J21">
            <v>0.03</v>
          </cell>
          <cell r="K21">
            <v>0.04</v>
          </cell>
          <cell r="L21">
            <v>0.03</v>
          </cell>
        </row>
        <row r="22">
          <cell r="I22" t="str">
            <v>Step 3 Rate</v>
          </cell>
          <cell r="J22">
            <v>0.04</v>
          </cell>
          <cell r="L22">
            <v>3.7499999999999999E-2</v>
          </cell>
        </row>
        <row r="23">
          <cell r="I23" t="str">
            <v>Step 4 Rate</v>
          </cell>
          <cell r="J23">
            <v>0</v>
          </cell>
          <cell r="L23">
            <v>0</v>
          </cell>
        </row>
        <row r="24">
          <cell r="I24" t="str">
            <v>Step 5 Rate</v>
          </cell>
          <cell r="J24">
            <v>0</v>
          </cell>
          <cell r="L24">
            <v>0</v>
          </cell>
        </row>
        <row r="25">
          <cell r="I25" t="str">
            <v>Step 2 PMT</v>
          </cell>
          <cell r="J25">
            <v>244.78925409362287</v>
          </cell>
          <cell r="K25">
            <v>379.91715053402083</v>
          </cell>
          <cell r="L25">
            <v>478.30283472945007</v>
          </cell>
        </row>
        <row r="26">
          <cell r="I26" t="str">
            <v>Step 3 PMT</v>
          </cell>
          <cell r="J26">
            <v>280.22298090016625</v>
          </cell>
          <cell r="L26">
            <v>496.09347454255573</v>
          </cell>
        </row>
        <row r="27">
          <cell r="I27" t="str">
            <v>Step 4 PMT</v>
          </cell>
          <cell r="J27">
            <v>0</v>
          </cell>
          <cell r="L27">
            <v>0</v>
          </cell>
        </row>
        <row r="28">
          <cell r="I28" t="str">
            <v>Step 5 PMT</v>
          </cell>
          <cell r="J28">
            <v>0</v>
          </cell>
          <cell r="L28">
            <v>0</v>
          </cell>
        </row>
        <row r="29">
          <cell r="I29" t="str">
            <v>Step 2 AUPB</v>
          </cell>
          <cell r="J29">
            <v>63606.374763979649</v>
          </cell>
          <cell r="K29">
            <v>85803.709047945711</v>
          </cell>
          <cell r="L29">
            <v>72567.715668211546</v>
          </cell>
        </row>
        <row r="30">
          <cell r="I30" t="str">
            <v>Step 3 AUPB</v>
          </cell>
          <cell r="J30">
            <v>62441.365929268766</v>
          </cell>
          <cell r="L30">
            <v>67934.655833890763</v>
          </cell>
        </row>
        <row r="31">
          <cell r="I31" t="str">
            <v>Step 4 AUPB</v>
          </cell>
          <cell r="J31">
            <v>0</v>
          </cell>
          <cell r="L31">
            <v>0</v>
          </cell>
        </row>
        <row r="32">
          <cell r="I32" t="str">
            <v>Step 5 AUPB</v>
          </cell>
          <cell r="J32">
            <v>0</v>
          </cell>
          <cell r="L32">
            <v>0</v>
          </cell>
        </row>
      </sheetData>
      <sheetData sheetId="5">
        <row r="17">
          <cell r="E17" t="str">
            <v>Bank of America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AMP Tier 1"/>
      <sheetName val="HAMP Tier 2"/>
      <sheetName val="Mod Terms"/>
      <sheetName val="Data Validation"/>
      <sheetName val="Waterfall Explanation"/>
      <sheetName val="Check for Balloon"/>
      <sheetName val="HAMP Amortization Schedule"/>
    </sheetNames>
    <sheetDataSet>
      <sheetData sheetId="0" refreshError="1"/>
      <sheetData sheetId="1" refreshError="1"/>
      <sheetData sheetId="2">
        <row r="7">
          <cell r="D7">
            <v>40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66"/>
    <pageSetUpPr autoPageBreaks="0"/>
  </sheetPr>
  <dimension ref="A1:AA53"/>
  <sheetViews>
    <sheetView showGridLines="0" tabSelected="1" zoomScaleNormal="100" workbookViewId="0">
      <selection activeCell="F18" sqref="F18"/>
    </sheetView>
  </sheetViews>
  <sheetFormatPr defaultRowHeight="12.75" x14ac:dyDescent="0.2"/>
  <cols>
    <col min="1" max="1" width="3" customWidth="1"/>
    <col min="2" max="2" width="3.85546875" customWidth="1"/>
    <col min="3" max="3" width="7" customWidth="1"/>
    <col min="4" max="4" width="9.140625" customWidth="1"/>
    <col min="5" max="6" width="15" customWidth="1"/>
    <col min="7" max="7" width="5.140625" customWidth="1"/>
    <col min="8" max="8" width="10.28515625" customWidth="1"/>
    <col min="9" max="9" width="5.28515625" customWidth="1"/>
    <col min="10" max="10" width="6.5703125" customWidth="1"/>
    <col min="11" max="11" width="10.5703125" customWidth="1"/>
    <col min="12" max="12" width="9.7109375" customWidth="1"/>
    <col min="13" max="13" width="20.42578125" customWidth="1"/>
    <col min="14" max="14" width="19.5703125" customWidth="1"/>
    <col min="15" max="15" width="3.7109375" customWidth="1"/>
    <col min="16" max="16" width="3" customWidth="1"/>
    <col min="17" max="17" width="12.7109375" customWidth="1"/>
    <col min="18" max="18" width="11.28515625" bestFit="1" customWidth="1"/>
  </cols>
  <sheetData>
    <row r="1" spans="1:27" ht="18.75" x14ac:dyDescent="0.3">
      <c r="A1" s="231" t="s">
        <v>109</v>
      </c>
      <c r="B1" s="231"/>
      <c r="C1" s="231"/>
      <c r="D1" s="231"/>
      <c r="E1" s="231"/>
      <c r="F1" s="231"/>
      <c r="G1" s="231"/>
      <c r="H1" s="231"/>
      <c r="I1" s="232"/>
      <c r="J1" s="231"/>
      <c r="K1" s="231"/>
      <c r="L1" s="231"/>
      <c r="M1" s="231"/>
      <c r="N1" s="231"/>
      <c r="O1" s="231"/>
      <c r="P1" s="231"/>
    </row>
    <row r="2" spans="1:27" ht="12.75" customHeight="1" x14ac:dyDescent="0.2">
      <c r="A2" s="5"/>
      <c r="B2" s="99" t="str">
        <f>IF(Inputs!$O$45="MFY's Proprietary Waterfall Worksheet for HAMP Tiers 1 and 2","","MFY's Proprietary Waterfall Worksheet for HAMP Tiers 1 and 2")</f>
        <v>MFY's Proprietary Waterfall Worksheet for HAMP Tiers 1 and 2</v>
      </c>
      <c r="C2" s="6"/>
      <c r="D2" s="6"/>
      <c r="E2" s="6"/>
      <c r="F2" s="6"/>
      <c r="G2" s="6"/>
      <c r="H2" s="6"/>
      <c r="I2" s="144"/>
      <c r="J2" s="6"/>
      <c r="K2" s="6"/>
      <c r="L2" s="6"/>
      <c r="M2" s="6"/>
      <c r="N2" s="6"/>
      <c r="O2" s="6"/>
      <c r="P2" s="106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customHeight="1" thickBot="1" x14ac:dyDescent="0.3">
      <c r="A3" s="7"/>
      <c r="B3" s="10"/>
      <c r="C3" s="1"/>
      <c r="D3" s="1"/>
      <c r="E3" s="233" t="s">
        <v>54</v>
      </c>
      <c r="F3" s="233"/>
      <c r="G3" s="1"/>
      <c r="I3" s="141"/>
      <c r="J3" s="1"/>
      <c r="K3" s="228" t="s">
        <v>27</v>
      </c>
      <c r="L3" s="229"/>
      <c r="M3" s="229"/>
      <c r="N3" s="229"/>
      <c r="O3" s="1"/>
      <c r="P3" s="107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 x14ac:dyDescent="0.2">
      <c r="A4" s="7"/>
      <c r="E4" s="133" t="s">
        <v>6</v>
      </c>
      <c r="F4" s="134" t="s">
        <v>18</v>
      </c>
      <c r="I4" s="141"/>
      <c r="J4" s="1"/>
      <c r="K4" s="1"/>
      <c r="L4" s="1"/>
      <c r="M4" s="1"/>
      <c r="N4" s="1"/>
      <c r="O4" s="1"/>
      <c r="P4" s="107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thickBot="1" x14ac:dyDescent="0.25">
      <c r="A5" s="7"/>
      <c r="E5" s="135" t="s">
        <v>19</v>
      </c>
      <c r="F5" s="136" t="s">
        <v>53</v>
      </c>
      <c r="I5" s="141"/>
      <c r="J5" s="1"/>
      <c r="K5" s="84" t="s">
        <v>58</v>
      </c>
      <c r="L5" s="1"/>
      <c r="M5" s="1"/>
      <c r="N5" s="147" t="s">
        <v>78</v>
      </c>
      <c r="O5" s="16"/>
      <c r="P5" s="107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 customHeight="1" x14ac:dyDescent="0.3">
      <c r="A6" s="7"/>
      <c r="B6" s="26"/>
      <c r="C6" s="27"/>
      <c r="D6" s="27"/>
      <c r="E6" s="27"/>
      <c r="F6" s="27"/>
      <c r="I6" s="141"/>
      <c r="J6" s="1"/>
      <c r="K6" s="237" t="str">
        <f>IF(Owner=3,"",IF(Owner=1,HYPERLINK("https://www.fanniemae.com/content/guide_exhibit/fannie-mae-standard-modification-interest-rate.pdf","Fannie Mae Mod Rate"),IF(Owner=2,HYPERLINK("http://www.freddiemac.com/singlefamily/service/standardmodrate.html","Freddie Standard Mod Rate"),0)))</f>
        <v>Fannie Mae Mod Rate</v>
      </c>
      <c r="L6" s="237"/>
      <c r="M6" s="237"/>
      <c r="N6" s="182">
        <v>4.2500000000000003E-2</v>
      </c>
      <c r="O6" s="4"/>
      <c r="P6" s="107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 x14ac:dyDescent="0.25">
      <c r="A7" s="230" t="s">
        <v>22</v>
      </c>
      <c r="B7" s="228"/>
      <c r="C7" s="228"/>
      <c r="D7" s="228"/>
      <c r="E7" s="228"/>
      <c r="F7" s="228"/>
      <c r="I7" s="141"/>
      <c r="J7" s="1"/>
      <c r="K7" s="84"/>
      <c r="L7" s="1"/>
      <c r="M7" s="1"/>
      <c r="N7" s="16"/>
      <c r="O7" s="16"/>
      <c r="P7" s="107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 x14ac:dyDescent="0.2">
      <c r="A8" s="7"/>
      <c r="I8" s="141"/>
      <c r="J8" s="238" t="s">
        <v>39</v>
      </c>
      <c r="K8" s="238"/>
      <c r="L8" s="238"/>
      <c r="M8" s="238"/>
      <c r="N8" s="238"/>
      <c r="O8" s="238"/>
      <c r="P8" s="239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 x14ac:dyDescent="0.2">
      <c r="A9" s="7"/>
      <c r="B9" s="100" t="s">
        <v>32</v>
      </c>
      <c r="C9" s="1"/>
      <c r="D9" s="1"/>
      <c r="E9" s="1"/>
      <c r="F9" s="42">
        <v>350000</v>
      </c>
      <c r="G9" s="1"/>
      <c r="I9" s="141"/>
      <c r="J9" s="1"/>
      <c r="K9" s="23" t="s">
        <v>31</v>
      </c>
      <c r="L9" s="1"/>
      <c r="M9" s="1"/>
      <c r="N9" s="38">
        <v>300000</v>
      </c>
      <c r="O9" s="16"/>
      <c r="P9" s="107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 x14ac:dyDescent="0.2">
      <c r="A10" s="7"/>
      <c r="B10" s="2" t="s">
        <v>29</v>
      </c>
      <c r="C10" s="1"/>
      <c r="D10" s="1"/>
      <c r="E10" s="1"/>
      <c r="F10" s="77" t="s">
        <v>30</v>
      </c>
      <c r="G10" s="1"/>
      <c r="I10" s="141"/>
      <c r="J10" s="1"/>
      <c r="K10" s="82" t="s">
        <v>57</v>
      </c>
      <c r="L10" s="1"/>
      <c r="M10" s="1"/>
      <c r="N10" s="29">
        <v>360</v>
      </c>
      <c r="O10" s="16"/>
      <c r="P10" s="10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 x14ac:dyDescent="0.2">
      <c r="A11" s="7"/>
      <c r="I11" s="141"/>
      <c r="J11" s="1"/>
      <c r="K11" s="82" t="s">
        <v>60</v>
      </c>
      <c r="L11" s="1"/>
      <c r="M11" s="1"/>
      <c r="N11" s="24">
        <v>0.06</v>
      </c>
      <c r="O11" s="16"/>
      <c r="P11" s="107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 x14ac:dyDescent="0.2">
      <c r="A12" s="7"/>
      <c r="B12" s="18" t="s">
        <v>33</v>
      </c>
      <c r="F12" s="34"/>
      <c r="H12" s="1"/>
      <c r="I12" s="141"/>
      <c r="J12" s="1"/>
      <c r="K12" s="84" t="s">
        <v>64</v>
      </c>
      <c r="L12" s="1"/>
      <c r="M12" s="1"/>
      <c r="N12" s="146" t="s">
        <v>65</v>
      </c>
      <c r="O12" s="16"/>
      <c r="P12" s="107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 x14ac:dyDescent="0.2">
      <c r="A13" s="7"/>
      <c r="B13" s="121" t="s">
        <v>45</v>
      </c>
      <c r="C13" s="120"/>
      <c r="D13" s="120"/>
      <c r="E13" s="120"/>
      <c r="F13" s="126" t="s">
        <v>108</v>
      </c>
      <c r="H13" s="1"/>
      <c r="I13" s="141"/>
      <c r="J13" s="1"/>
      <c r="K13" s="154" t="str">
        <f>VLOOKUP(RateType,RateTable,2,FALSE)</f>
        <v/>
      </c>
      <c r="L13" s="154"/>
      <c r="M13" s="154"/>
      <c r="N13" s="160">
        <v>0.13</v>
      </c>
      <c r="O13" s="16"/>
      <c r="P13" s="10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 x14ac:dyDescent="0.2">
      <c r="A14" s="7"/>
      <c r="B14" s="121" t="str">
        <f>IF($F$13="YTD","Enter Date of YTD","")</f>
        <v/>
      </c>
      <c r="C14" s="120"/>
      <c r="D14" s="120"/>
      <c r="E14" s="120"/>
      <c r="F14" s="127">
        <v>42776</v>
      </c>
      <c r="H14" s="1"/>
      <c r="I14" s="141"/>
      <c r="J14" s="1"/>
      <c r="K14" s="82" t="s">
        <v>40</v>
      </c>
      <c r="L14" s="1"/>
      <c r="M14" s="1"/>
      <c r="N14" s="21">
        <v>39448</v>
      </c>
      <c r="O14" s="4"/>
      <c r="P14" s="107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 x14ac:dyDescent="0.2">
      <c r="A15" s="7"/>
      <c r="B15" s="120" t="s">
        <v>23</v>
      </c>
      <c r="C15" s="120"/>
      <c r="D15" s="120"/>
      <c r="E15" s="120"/>
      <c r="F15" s="123">
        <v>3500</v>
      </c>
      <c r="H15" s="1"/>
      <c r="I15" s="141"/>
      <c r="J15" s="1"/>
      <c r="K15" s="155" t="s">
        <v>66</v>
      </c>
      <c r="L15" s="155"/>
      <c r="M15" s="155"/>
      <c r="N15" s="156">
        <v>0</v>
      </c>
      <c r="O15" s="4"/>
      <c r="P15" s="107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 x14ac:dyDescent="0.2">
      <c r="A16" s="7"/>
      <c r="B16" s="121" t="s">
        <v>46</v>
      </c>
      <c r="C16" s="120"/>
      <c r="D16" s="120"/>
      <c r="E16" s="120"/>
      <c r="F16" s="128">
        <f>IF(F13="weekly",F15*52/12,IF(F13="biweekly",F15*26/12,IF(F13="bimonthly",F15*2,IF(F13="annual",F15/12,IF(F13="ytd",F15/DAYS360(DATE(YEAR(F14),1,1),F14)*30,IF(F13="monthly",F15,0))))))</f>
        <v>3500</v>
      </c>
      <c r="G16" s="1"/>
      <c r="H16" s="1"/>
      <c r="I16" s="141"/>
      <c r="J16" s="1"/>
      <c r="K16" s="154" t="str">
        <f>IF(N12="Fixed Rate","","Monthly P&amp;I Payment")</f>
        <v/>
      </c>
      <c r="L16" s="154"/>
      <c r="M16" s="154"/>
      <c r="N16" s="157">
        <v>2409</v>
      </c>
      <c r="O16" s="4"/>
      <c r="P16" s="107"/>
      <c r="Q16" s="102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 customHeight="1" x14ac:dyDescent="0.2">
      <c r="A17" s="7"/>
      <c r="B17" s="119" t="s">
        <v>47</v>
      </c>
      <c r="C17" s="1"/>
      <c r="D17" s="1"/>
      <c r="E17" s="1"/>
      <c r="F17" s="122">
        <v>0</v>
      </c>
      <c r="G17" s="1"/>
      <c r="H17" s="1"/>
      <c r="I17" s="141"/>
      <c r="J17" s="1"/>
      <c r="K17" s="82" t="s">
        <v>49</v>
      </c>
      <c r="N17" s="33">
        <v>300</v>
      </c>
      <c r="O17" s="1"/>
      <c r="P17" s="10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 customHeight="1" x14ac:dyDescent="0.2">
      <c r="A18" s="7"/>
      <c r="B18" s="84" t="s">
        <v>48</v>
      </c>
      <c r="C18" s="2"/>
      <c r="D18" s="2"/>
      <c r="E18" s="2"/>
      <c r="F18" s="122">
        <v>0</v>
      </c>
      <c r="G18" s="1"/>
      <c r="H18" s="1"/>
      <c r="I18" s="141"/>
      <c r="J18" s="1"/>
      <c r="K18" s="82" t="s">
        <v>50</v>
      </c>
      <c r="N18" s="33">
        <v>120</v>
      </c>
      <c r="O18" s="4"/>
      <c r="P18" s="10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 customHeight="1" x14ac:dyDescent="0.2">
      <c r="A19" s="7"/>
      <c r="B19" s="119" t="s">
        <v>56</v>
      </c>
      <c r="F19" s="122">
        <v>0</v>
      </c>
      <c r="I19" s="141"/>
      <c r="J19" s="1"/>
      <c r="K19" s="82" t="s">
        <v>51</v>
      </c>
      <c r="N19" s="122">
        <v>0</v>
      </c>
      <c r="O19" s="4"/>
      <c r="P19" s="107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 customHeight="1" x14ac:dyDescent="0.2">
      <c r="A20" s="7"/>
      <c r="F20" s="32">
        <f>F19*1.25</f>
        <v>0</v>
      </c>
      <c r="G20" s="23" t="s">
        <v>28</v>
      </c>
      <c r="H20" s="1"/>
      <c r="I20" s="141"/>
      <c r="J20" s="1"/>
      <c r="K20" s="238" t="s">
        <v>68</v>
      </c>
      <c r="L20" s="238"/>
      <c r="M20" s="238"/>
      <c r="N20" s="238"/>
      <c r="O20" s="11"/>
      <c r="P20" s="10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 x14ac:dyDescent="0.2">
      <c r="A21" s="7"/>
      <c r="B21" s="1" t="s">
        <v>24</v>
      </c>
      <c r="C21" s="1"/>
      <c r="D21" s="1"/>
      <c r="E21" s="1"/>
      <c r="F21" s="35"/>
      <c r="G21" s="1"/>
      <c r="H21" s="1"/>
      <c r="I21" s="141"/>
      <c r="J21" s="1"/>
      <c r="K21" s="82" t="s">
        <v>52</v>
      </c>
      <c r="N21" s="41" t="s">
        <v>74</v>
      </c>
      <c r="O21" s="11"/>
      <c r="P21" s="107"/>
      <c r="Q21" s="101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 x14ac:dyDescent="0.2">
      <c r="A22" s="7"/>
      <c r="B22" s="1"/>
      <c r="C22" s="10" t="s">
        <v>37</v>
      </c>
      <c r="D22" s="10"/>
      <c r="E22" s="1"/>
      <c r="F22" s="85">
        <v>900</v>
      </c>
      <c r="H22" s="1"/>
      <c r="I22" s="141"/>
      <c r="J22" s="1"/>
      <c r="K22" s="149" t="str">
        <f>IF(infotype=1,IF(N12="Other","Cannot Calculate Using Default Date Only","Estimate Arrears and UPB at Default:"),IF(N15&gt;0,"Enter Interest Bearing UPB at Default:","Enter UPB at Default:"))</f>
        <v>Estimate Arrears and UPB at Default:</v>
      </c>
      <c r="N22" s="42">
        <f>296894.89</f>
        <v>296894.89</v>
      </c>
      <c r="O22" s="11"/>
      <c r="P22" s="107"/>
      <c r="Q22" s="101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 x14ac:dyDescent="0.2">
      <c r="A23" s="7"/>
      <c r="B23" s="1"/>
      <c r="C23" s="1"/>
      <c r="D23" s="1"/>
      <c r="E23" s="1"/>
      <c r="F23" s="32">
        <f>F22*0.75</f>
        <v>675</v>
      </c>
      <c r="G23" s="10" t="s">
        <v>35</v>
      </c>
      <c r="H23" s="1"/>
      <c r="I23" s="141"/>
      <c r="J23" s="1"/>
      <c r="K23" s="149" t="str">
        <f>IF(infotype=2,"Estimate Arrears:",IF(infotype=3,"Enter Amount of Arrears:",""))</f>
        <v/>
      </c>
      <c r="N23" s="42">
        <v>100000</v>
      </c>
      <c r="O23" s="11"/>
      <c r="P23" s="107"/>
      <c r="Q23" s="102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 x14ac:dyDescent="0.2">
      <c r="A24" s="7"/>
      <c r="B24" s="1"/>
      <c r="C24" s="28" t="s">
        <v>38</v>
      </c>
      <c r="D24" s="28"/>
      <c r="E24" s="1"/>
      <c r="F24" s="33">
        <v>0</v>
      </c>
      <c r="H24" s="1"/>
      <c r="I24" s="141"/>
      <c r="J24" s="1"/>
      <c r="K24" s="23" t="str">
        <f>IF(infotype=3,"","Default Date")</f>
        <v>Default Date</v>
      </c>
      <c r="L24" s="1"/>
      <c r="M24" s="1"/>
      <c r="N24" s="21">
        <v>41671</v>
      </c>
      <c r="O24" s="11"/>
      <c r="P24" s="107"/>
      <c r="Q24" s="101"/>
      <c r="R24" s="101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 customHeight="1" x14ac:dyDescent="0.2">
      <c r="A25" s="7"/>
      <c r="B25" s="1"/>
      <c r="C25" s="1"/>
      <c r="D25" s="1"/>
      <c r="E25" s="1"/>
      <c r="F25" s="32">
        <f>F24*0.75</f>
        <v>0</v>
      </c>
      <c r="G25" s="10" t="s">
        <v>35</v>
      </c>
      <c r="H25" s="1"/>
      <c r="I25" s="141"/>
      <c r="J25" s="1"/>
      <c r="K25" s="23" t="str">
        <f>IF(infotype=3,"","Today's Date")</f>
        <v>Today's Date</v>
      </c>
      <c r="L25" s="1"/>
      <c r="M25" s="1"/>
      <c r="N25" s="105">
        <f ca="1">TODAY()</f>
        <v>42817</v>
      </c>
      <c r="O25" s="4"/>
      <c r="P25" s="10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 customHeight="1" x14ac:dyDescent="0.2">
      <c r="A26" s="7"/>
      <c r="B26" s="1"/>
      <c r="E26" s="83" t="str">
        <f>IF(Rental="Yes","","PITIA on Rental")</f>
        <v>PITIA on Rental</v>
      </c>
      <c r="F26" s="33">
        <v>0</v>
      </c>
      <c r="G26" s="1"/>
      <c r="H26" s="1"/>
      <c r="I26" s="141"/>
      <c r="J26" s="1"/>
      <c r="K26" s="28" t="str">
        <f>IF(infotype=3,"","Total Months in Default")</f>
        <v>Total Months in Default</v>
      </c>
      <c r="L26" s="4"/>
      <c r="M26" s="4"/>
      <c r="N26" s="22">
        <f ca="1">ROUNDUP((DAYS360(N24,N25))/30,0)</f>
        <v>38</v>
      </c>
      <c r="O26" s="4"/>
      <c r="P26" s="107"/>
      <c r="Q26" s="102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 x14ac:dyDescent="0.2">
      <c r="A27" s="7"/>
      <c r="B27" s="1"/>
      <c r="C27" s="1" t="str">
        <f>IF(Rental="Yes","Reduced by Post Mod PITIA","")</f>
        <v/>
      </c>
      <c r="D27" s="1"/>
      <c r="E27" s="1"/>
      <c r="F27" s="32">
        <f>IF(Rental="No",F25-F26,F25-T2PITIA)</f>
        <v>0</v>
      </c>
      <c r="G27" s="84" t="str">
        <f>IF(Rental="No","Reduced by PITIA","")</f>
        <v>Reduced by PITIA</v>
      </c>
      <c r="H27" s="1"/>
      <c r="I27" s="142"/>
      <c r="J27" s="1"/>
      <c r="K27" s="28" t="str">
        <f>IF(infotype=3,"",IF(infotype=2,IF(N15&gt;0,"Interest Bearing UPB at Default","UPB at Default"),IF(infotype=1,"Est UPB at Default",0)))</f>
        <v>Est UPB at Default</v>
      </c>
      <c r="L27" s="4"/>
      <c r="M27" s="4"/>
      <c r="N27" s="31">
        <f>IF(infotype=1,-PV(N11/12,N10-ROUNDUP((N24-N14)/30,0),'Flex Mod'!E13),N22)</f>
        <v>272904.36671031592</v>
      </c>
      <c r="O27" s="4"/>
      <c r="P27" s="107">
        <v>0</v>
      </c>
      <c r="Q27" s="10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customHeight="1" x14ac:dyDescent="0.2">
      <c r="A28" s="7"/>
      <c r="B28" s="1"/>
      <c r="C28" s="1"/>
      <c r="D28" s="1"/>
      <c r="E28" s="1"/>
      <c r="F28" s="35"/>
      <c r="H28" s="8"/>
      <c r="I28" s="141"/>
      <c r="J28" s="1"/>
      <c r="K28" s="28" t="str">
        <f>IF(infotype=3,"","Taxes in Arrears")</f>
        <v>Taxes in Arrears</v>
      </c>
      <c r="N28" s="31">
        <f ca="1">N17*N26</f>
        <v>11400</v>
      </c>
      <c r="O28" s="4"/>
      <c r="P28" s="107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 customHeight="1" x14ac:dyDescent="0.2">
      <c r="A29" s="7"/>
      <c r="B29" s="1" t="s">
        <v>25</v>
      </c>
      <c r="C29" s="1"/>
      <c r="D29" s="1"/>
      <c r="E29" s="1"/>
      <c r="F29" s="32">
        <f>F23+F18+F16+F17+F20+(IF(AND(Rental="YES",(F27&lt;0)),0,F27))</f>
        <v>4175</v>
      </c>
      <c r="G29" s="1"/>
      <c r="H29" s="1"/>
      <c r="I29" s="141"/>
      <c r="J29" s="1"/>
      <c r="K29" s="28" t="str">
        <f>IF(infotype=3,"","Insurance Arrears")</f>
        <v>Insurance Arrears</v>
      </c>
      <c r="N29" s="31">
        <f ca="1">N18*N26</f>
        <v>4560</v>
      </c>
      <c r="O29" s="4"/>
      <c r="P29" s="10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 customHeight="1" x14ac:dyDescent="0.2">
      <c r="A30" s="7"/>
      <c r="F30" s="34"/>
      <c r="H30" s="1"/>
      <c r="I30" s="141"/>
      <c r="J30" s="1"/>
      <c r="K30" s="23" t="str">
        <f>IF(infotype=3,"","Association Fee Arrears")</f>
        <v>Association Fee Arrears</v>
      </c>
      <c r="N30" s="31">
        <f ca="1">N19*N26</f>
        <v>0</v>
      </c>
      <c r="O30" s="4"/>
      <c r="P30" s="10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customHeight="1" x14ac:dyDescent="0.2">
      <c r="A31" s="7"/>
      <c r="B31" s="2" t="s">
        <v>26</v>
      </c>
      <c r="C31" s="2"/>
      <c r="D31" s="2"/>
      <c r="E31" s="2"/>
      <c r="F31" s="36"/>
      <c r="G31" s="9"/>
      <c r="H31" s="1"/>
      <c r="I31" s="141"/>
      <c r="J31" s="1"/>
      <c r="K31" s="28" t="str">
        <f>IF(infotype=3,"","Interest Arrears")</f>
        <v>Interest Arrears</v>
      </c>
      <c r="M31" s="104"/>
      <c r="N31" s="31">
        <f ca="1">N26*ROUND(N11/12*N27,2)+(DAY(N25)-DAY(N24))*ROUND(N11/365*N27,4)</f>
        <v>52838.702000000005</v>
      </c>
      <c r="O31" s="4"/>
      <c r="P31" s="10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 x14ac:dyDescent="0.2">
      <c r="A32" s="7"/>
      <c r="B32" s="121" t="s">
        <v>45</v>
      </c>
      <c r="C32" s="120"/>
      <c r="D32" s="120"/>
      <c r="E32" s="120"/>
      <c r="F32" s="126"/>
      <c r="H32" s="1"/>
      <c r="I32" s="141"/>
      <c r="J32" s="1"/>
      <c r="K32" s="119" t="s">
        <v>17</v>
      </c>
      <c r="M32" s="104"/>
      <c r="N32" s="31">
        <f>'Flex Mod'!E18</f>
        <v>2218.6514460425742</v>
      </c>
      <c r="O32" s="4"/>
      <c r="P32" s="10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 customHeight="1" thickBot="1" x14ac:dyDescent="0.25">
      <c r="A33" s="7"/>
      <c r="B33" s="121" t="str">
        <f>IF($F$32="YTD","Enter Date of YTD","")</f>
        <v/>
      </c>
      <c r="C33" s="120"/>
      <c r="D33" s="120"/>
      <c r="E33" s="120"/>
      <c r="F33" s="127">
        <v>41197</v>
      </c>
      <c r="H33" s="1"/>
      <c r="I33" s="141"/>
      <c r="J33" s="1"/>
      <c r="K33" s="4" t="str">
        <f>IF(infotype=3,"","Allowable Fees &amp; Costs")</f>
        <v>Allowable Fees &amp; Costs</v>
      </c>
      <c r="L33" s="4"/>
      <c r="M33" s="4"/>
      <c r="N33" s="25">
        <v>0</v>
      </c>
      <c r="O33" s="4"/>
      <c r="P33" s="10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 thickBot="1" x14ac:dyDescent="0.25">
      <c r="A34" s="7"/>
      <c r="B34" s="120" t="s">
        <v>23</v>
      </c>
      <c r="C34" s="120"/>
      <c r="D34" s="120"/>
      <c r="E34" s="120"/>
      <c r="F34" s="123">
        <v>0</v>
      </c>
      <c r="H34" s="1"/>
      <c r="I34" s="141"/>
      <c r="J34" s="1"/>
      <c r="K34" s="11" t="str">
        <f>IF(infotype=3,"",IF(N15&gt;0,"Total Eligible Arrears and Forbearance","Total Eligible Arrears"))</f>
        <v>Total Eligible Arrears</v>
      </c>
      <c r="L34" s="4"/>
      <c r="M34" s="4"/>
      <c r="N34" s="39">
        <f ca="1">IF(infotype=3,N23,SUM(N28:N33)+N15)</f>
        <v>71017.353446042573</v>
      </c>
      <c r="O34" s="4"/>
      <c r="P34" s="107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 customHeight="1" x14ac:dyDescent="0.2">
      <c r="A35" s="7"/>
      <c r="B35" s="121" t="s">
        <v>46</v>
      </c>
      <c r="C35" s="120"/>
      <c r="D35" s="120"/>
      <c r="E35" s="120"/>
      <c r="F35" s="128">
        <f>IF(F32="weekly",F34*52/12,IF(F32="biweekly",F34*26/12,IF(F32="bimonthly",F34*2,IF(F32="annual",F34/12,IF(F32="ytd",F34/DAYS360(DATE(YEAR(F33),1,1),F33)*30,IF(F32="monthly",F34,0))))))</f>
        <v>0</v>
      </c>
      <c r="G35" s="1"/>
      <c r="H35" s="1"/>
      <c r="I35" s="141"/>
      <c r="J35" s="1"/>
      <c r="O35" s="4"/>
      <c r="P35" s="107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 x14ac:dyDescent="0.2">
      <c r="A36" s="7"/>
      <c r="B36" s="84" t="s">
        <v>48</v>
      </c>
      <c r="C36" s="2"/>
      <c r="D36" s="2"/>
      <c r="E36" s="2"/>
      <c r="F36" s="122">
        <v>0</v>
      </c>
      <c r="G36" s="1"/>
      <c r="H36" s="1"/>
      <c r="I36" s="141"/>
      <c r="J36" s="1"/>
      <c r="K36" s="240" t="str">
        <f>IF(Rental="Yes","Debt for DTI","")</f>
        <v/>
      </c>
      <c r="L36" s="240"/>
      <c r="M36" s="240"/>
      <c r="N36" s="240"/>
      <c r="O36" s="4"/>
      <c r="P36" s="10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 x14ac:dyDescent="0.2">
      <c r="A37" s="7"/>
      <c r="B37" s="119" t="s">
        <v>56</v>
      </c>
      <c r="F37" s="122">
        <v>0</v>
      </c>
      <c r="I37" s="141"/>
      <c r="J37" s="1"/>
      <c r="K37" t="str">
        <f>IF(F10="Yes","Primary Residence PITIA","")</f>
        <v/>
      </c>
      <c r="L37" s="1"/>
      <c r="M37" s="1"/>
      <c r="N37" s="33">
        <v>1000</v>
      </c>
      <c r="O37" s="4"/>
      <c r="P37" s="107"/>
      <c r="Q37" s="3"/>
      <c r="R37" s="101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 x14ac:dyDescent="0.2">
      <c r="A38" s="7"/>
      <c r="F38" s="124">
        <f>F37*1.25</f>
        <v>0</v>
      </c>
      <c r="G38" s="23" t="s">
        <v>28</v>
      </c>
      <c r="H38" s="1"/>
      <c r="I38" s="141"/>
      <c r="J38" s="1"/>
      <c r="K38" s="23" t="str">
        <f>IF(F10="Yes","Loss on Subject Property","")</f>
        <v/>
      </c>
      <c r="L38" s="1"/>
      <c r="M38" s="1"/>
      <c r="N38" s="32" t="b">
        <f>IF(F10="Yes",IF(F27&lt;0,F27*-1,0))</f>
        <v>0</v>
      </c>
      <c r="O38" s="4"/>
      <c r="P38" s="107"/>
      <c r="Q38" s="3"/>
      <c r="R38" s="101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 x14ac:dyDescent="0.2">
      <c r="A39" s="7"/>
      <c r="F39" s="125"/>
      <c r="G39" s="23"/>
      <c r="H39" s="1"/>
      <c r="I39" s="143"/>
      <c r="J39" s="1"/>
      <c r="K39" s="18" t="str">
        <f>IF(F10="Yes","Total","")</f>
        <v/>
      </c>
      <c r="L39" s="1"/>
      <c r="M39" s="1"/>
      <c r="N39" s="32" t="b">
        <f>IF(F10="Yes",N38+N37)</f>
        <v>0</v>
      </c>
      <c r="O39" s="4"/>
      <c r="P39" s="10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 x14ac:dyDescent="0.2">
      <c r="A40" s="7"/>
      <c r="B40" s="1" t="s">
        <v>25</v>
      </c>
      <c r="C40" s="1"/>
      <c r="D40" s="1"/>
      <c r="E40" s="1"/>
      <c r="F40" s="118">
        <f>SUM(F35,F36,F38)</f>
        <v>0</v>
      </c>
      <c r="G40" s="1"/>
      <c r="H40" s="1"/>
      <c r="I40" s="141"/>
      <c r="J40" s="1"/>
      <c r="K40" s="17"/>
      <c r="L40" s="4"/>
      <c r="M40" s="4"/>
      <c r="N40" s="4"/>
      <c r="O40" s="4"/>
      <c r="P40" s="10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 thickBot="1" x14ac:dyDescent="0.25">
      <c r="A41" s="7"/>
      <c r="B41" s="1"/>
      <c r="C41" s="1"/>
      <c r="D41" s="1"/>
      <c r="E41" s="1"/>
      <c r="F41" s="37"/>
      <c r="G41" s="1"/>
      <c r="H41" s="1"/>
      <c r="I41" s="141"/>
      <c r="J41" s="1"/>
      <c r="K41" s="238"/>
      <c r="L41" s="238"/>
      <c r="M41" s="238"/>
      <c r="N41" s="238"/>
      <c r="O41" s="4"/>
      <c r="P41" s="10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 thickTop="1" thickBot="1" x14ac:dyDescent="0.25">
      <c r="A42" s="7"/>
      <c r="B42" s="2" t="s">
        <v>2</v>
      </c>
      <c r="C42" s="1"/>
      <c r="D42" s="1"/>
      <c r="E42" s="19"/>
      <c r="F42" s="148">
        <f>F29+F40</f>
        <v>4175</v>
      </c>
      <c r="G42" s="20"/>
      <c r="H42" s="1"/>
      <c r="I42" s="141"/>
      <c r="J42" s="1"/>
      <c r="K42" s="234"/>
      <c r="L42" s="235"/>
      <c r="M42" s="236"/>
      <c r="N42" s="178"/>
      <c r="O42" s="4"/>
      <c r="P42" s="107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 thickTop="1" x14ac:dyDescent="0.2">
      <c r="A43" s="7"/>
      <c r="B43" s="2"/>
      <c r="C43" s="1"/>
      <c r="D43" s="1"/>
      <c r="E43" s="1"/>
      <c r="F43" s="150"/>
      <c r="G43" s="12"/>
      <c r="H43" s="1"/>
      <c r="I43" s="141"/>
      <c r="J43" s="1"/>
      <c r="K43" s="1"/>
      <c r="L43" s="2"/>
      <c r="M43" s="2"/>
      <c r="N43" s="2"/>
      <c r="O43" s="4"/>
      <c r="P43" s="107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 x14ac:dyDescent="0.2">
      <c r="A44" s="7"/>
      <c r="B44" s="2"/>
      <c r="C44" s="1"/>
      <c r="D44" s="1"/>
      <c r="E44" s="1"/>
      <c r="F44" s="30"/>
      <c r="G44" s="12"/>
      <c r="H44" s="1"/>
      <c r="I44" s="141"/>
      <c r="J44" s="1"/>
      <c r="K44" s="18"/>
      <c r="L44" s="1"/>
      <c r="M44" s="1"/>
      <c r="N44" s="78"/>
      <c r="O44" s="4"/>
      <c r="P44" s="10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">
      <c r="A45" s="140"/>
      <c r="B45" s="91"/>
      <c r="C45" s="13"/>
      <c r="D45" s="13"/>
      <c r="E45" s="13"/>
      <c r="F45" s="92"/>
      <c r="G45" s="93"/>
      <c r="H45" s="13"/>
      <c r="I45" s="145"/>
      <c r="J45" s="13"/>
      <c r="K45" s="91"/>
      <c r="L45" s="96"/>
      <c r="M45" s="13"/>
      <c r="N45" s="94"/>
      <c r="O45" s="95" t="s">
        <v>59</v>
      </c>
      <c r="P45" s="108"/>
      <c r="Q45" s="1"/>
    </row>
    <row r="46" spans="1:27" x14ac:dyDescent="0.2">
      <c r="A46" s="1"/>
      <c r="B46" s="1"/>
      <c r="C46" s="1"/>
      <c r="D46" s="1"/>
      <c r="E46" s="1"/>
      <c r="F46" s="1"/>
      <c r="G46" s="1"/>
      <c r="H46" s="1"/>
      <c r="I46" s="4"/>
      <c r="J46" s="1"/>
      <c r="K46" s="1"/>
      <c r="L46" s="1"/>
      <c r="M46" s="1"/>
      <c r="N46" s="1"/>
      <c r="O46" s="1"/>
      <c r="P46" s="1"/>
      <c r="Q46" s="1"/>
    </row>
    <row r="47" spans="1:27" x14ac:dyDescent="0.2">
      <c r="A47" s="1"/>
      <c r="B47" s="1"/>
      <c r="C47" s="1"/>
      <c r="D47" s="1"/>
      <c r="E47" s="1"/>
      <c r="F47" s="1"/>
      <c r="G47" s="1"/>
      <c r="H47" s="1"/>
      <c r="I47" s="4"/>
      <c r="J47" s="1"/>
      <c r="K47" s="1"/>
      <c r="L47" s="1"/>
      <c r="M47" s="1"/>
      <c r="N47" s="1"/>
      <c r="O47" s="1"/>
      <c r="P47" s="1"/>
      <c r="Q47" s="1"/>
    </row>
    <row r="48" spans="1:27" x14ac:dyDescent="0.2">
      <c r="A48" s="1"/>
      <c r="B48" s="1"/>
      <c r="C48" s="1"/>
      <c r="D48" s="1"/>
      <c r="E48" s="1"/>
      <c r="F48" s="1"/>
      <c r="G48" s="1"/>
      <c r="H48" s="1"/>
      <c r="I48" s="4"/>
      <c r="J48" s="1"/>
      <c r="K48" s="1"/>
      <c r="L48" s="1"/>
      <c r="M48" s="1"/>
      <c r="N48" s="1"/>
      <c r="O48" s="1"/>
      <c r="P48" s="1"/>
      <c r="Q48" s="1"/>
    </row>
    <row r="49" spans="2:16" x14ac:dyDescent="0.2">
      <c r="B49" s="1"/>
      <c r="C49" s="1"/>
      <c r="D49" s="1"/>
      <c r="E49" s="1"/>
      <c r="F49" s="1"/>
      <c r="G49" s="1"/>
      <c r="H49" s="4"/>
      <c r="I49" s="4"/>
      <c r="J49" s="4"/>
      <c r="K49" s="1"/>
      <c r="L49" s="1"/>
      <c r="M49" s="1"/>
      <c r="N49" s="1"/>
      <c r="O49" s="1"/>
      <c r="P49" s="1"/>
    </row>
    <row r="50" spans="2:16" x14ac:dyDescent="0.2">
      <c r="H50" s="3"/>
      <c r="I50" s="3"/>
      <c r="J50" s="3"/>
    </row>
    <row r="51" spans="2:16" x14ac:dyDescent="0.2">
      <c r="H51" s="3"/>
      <c r="I51" s="3"/>
      <c r="J51" s="3"/>
    </row>
    <row r="52" spans="2:16" x14ac:dyDescent="0.2">
      <c r="H52" s="3"/>
      <c r="I52" s="3"/>
      <c r="J52" s="3"/>
    </row>
    <row r="53" spans="2:16" x14ac:dyDescent="0.2">
      <c r="H53" s="3"/>
      <c r="I53" s="3"/>
      <c r="J53" s="3"/>
    </row>
  </sheetData>
  <sheetProtection sheet="1" objects="1" scenarios="1"/>
  <customSheetViews>
    <customSheetView guid="{0367687A-2E80-4414-9E57-D64905950517}" showGridLines="0">
      <selection activeCell="F16" sqref="F16"/>
    </customSheetView>
  </customSheetViews>
  <mergeCells count="10">
    <mergeCell ref="K3:N3"/>
    <mergeCell ref="A7:F7"/>
    <mergeCell ref="A1:P1"/>
    <mergeCell ref="E3:F3"/>
    <mergeCell ref="K42:M42"/>
    <mergeCell ref="K6:M6"/>
    <mergeCell ref="J8:P8"/>
    <mergeCell ref="K20:N20"/>
    <mergeCell ref="K41:N41"/>
    <mergeCell ref="K36:N36"/>
  </mergeCells>
  <phoneticPr fontId="2" type="noConversion"/>
  <conditionalFormatting sqref="N22">
    <cfRule type="expression" dxfId="29" priority="115">
      <formula>IF(infotype=1,1,0)</formula>
    </cfRule>
  </conditionalFormatting>
  <conditionalFormatting sqref="N25:N34">
    <cfRule type="expression" dxfId="28" priority="34">
      <formula>IF(infotype=3,1,0)</formula>
    </cfRule>
  </conditionalFormatting>
  <conditionalFormatting sqref="G20:G35 G39">
    <cfRule type="expression" dxfId="27" priority="33">
      <formula>IF(AND(F19=0,F20=0),1,0)</formula>
    </cfRule>
  </conditionalFormatting>
  <conditionalFormatting sqref="F26">
    <cfRule type="expression" dxfId="26" priority="30">
      <formula>IF(Rental="Yes",1,0)</formula>
    </cfRule>
  </conditionalFormatting>
  <conditionalFormatting sqref="N24">
    <cfRule type="expression" dxfId="25" priority="27">
      <formula>IF(infotype=3,1,0)</formula>
    </cfRule>
  </conditionalFormatting>
  <conditionalFormatting sqref="G19 G36:G37">
    <cfRule type="expression" dxfId="24" priority="74">
      <formula>IF(AND(#REF!=0,F19=0),1,0)</formula>
    </cfRule>
  </conditionalFormatting>
  <conditionalFormatting sqref="G38">
    <cfRule type="expression" dxfId="23" priority="22">
      <formula>IF(AND(F37=0,F38=0),1,0)</formula>
    </cfRule>
  </conditionalFormatting>
  <conditionalFormatting sqref="G37">
    <cfRule type="expression" dxfId="22" priority="20">
      <formula>IF(AND(#REF!=0,F37=0),1,0)</formula>
    </cfRule>
  </conditionalFormatting>
  <conditionalFormatting sqref="F14">
    <cfRule type="expression" dxfId="21" priority="19">
      <formula>IF($F$13="YTD",0,1)</formula>
    </cfRule>
  </conditionalFormatting>
  <conditionalFormatting sqref="F33">
    <cfRule type="expression" dxfId="20" priority="18">
      <formula>IF($F$32="YTD",0,1)</formula>
    </cfRule>
  </conditionalFormatting>
  <conditionalFormatting sqref="O35:O39 L37:N39 L44:O44">
    <cfRule type="expression" dxfId="19" priority="85">
      <formula>IF($F$10="NO",1,0)</formula>
    </cfRule>
  </conditionalFormatting>
  <conditionalFormatting sqref="N6">
    <cfRule type="expression" dxfId="18" priority="17">
      <formula>IF(Owner=3,1,0)</formula>
    </cfRule>
  </conditionalFormatting>
  <conditionalFormatting sqref="A1:I45 J1:P5 J9:P12 K13:N19 J35:K39 K43:P43 J7:P7 N42:P42 N6:P6 J6:K6 J44:P45 L21:N35 L37:N40 J13:J34 J40:J43 O13:P41 K20:K34 K40:K42">
    <cfRule type="expression" dxfId="17" priority="49" stopIfTrue="1">
      <formula>IF($O$45="MFY Legal Services Inc.'s Proprietary Waterfall Worksheet",0,1)</formula>
    </cfRule>
  </conditionalFormatting>
  <conditionalFormatting sqref="K23">
    <cfRule type="expression" dxfId="16" priority="5">
      <formula>IF(infotype=2,1,0)</formula>
    </cfRule>
  </conditionalFormatting>
  <conditionalFormatting sqref="N23">
    <cfRule type="expression" dxfId="15" priority="3">
      <formula>IF(infotype=1,1,0)</formula>
    </cfRule>
    <cfRule type="expression" dxfId="14" priority="4">
      <formula>IF(infotype=2,1,0)</formula>
    </cfRule>
  </conditionalFormatting>
  <conditionalFormatting sqref="N22:N23 K24:N32">
    <cfRule type="expression" dxfId="13" priority="128" stopIfTrue="1">
      <formula>IF(AND(infotype=1,$N$12="Other"),1,0)</formula>
    </cfRule>
  </conditionalFormatting>
  <conditionalFormatting sqref="K22">
    <cfRule type="expression" dxfId="12" priority="143">
      <formula>IF(AND(infotype=1,$N$12="Other"),1,0)</formula>
    </cfRule>
    <cfRule type="expression" dxfId="11" priority="144">
      <formula>IF(infotype=1,1,0)</formula>
    </cfRule>
  </conditionalFormatting>
  <conditionalFormatting sqref="N16">
    <cfRule type="expression" dxfId="10" priority="2">
      <formula>IF(N12="Fixed Rate",1,0)</formula>
    </cfRule>
  </conditionalFormatting>
  <conditionalFormatting sqref="N13">
    <cfRule type="expression" dxfId="9" priority="1">
      <formula>IF($N$12="Fixed Rate",1,0)</formula>
    </cfRule>
  </conditionalFormatting>
  <dataValidations count="14">
    <dataValidation type="list" allowBlank="1" showInputMessage="1" showErrorMessage="1" sqref="N21">
      <formula1>"Capitalized UPB, UPB at Default, Only Default Date"</formula1>
    </dataValidation>
    <dataValidation allowBlank="1" showErrorMessage="1" promptTitle="Default Date" prompt="Enter the date of the first missed payment." sqref="K24"/>
    <dataValidation allowBlank="1" showInputMessage="1" showErrorMessage="1" promptTitle="Monthly P&amp;I" prompt="Enter the amount of monthly principal and interest currently due on the loan - not the initial amount or amount that borrower last paid." sqref="N16"/>
    <dataValidation type="list" allowBlank="1" showInputMessage="1" showErrorMessage="1" promptTitle="Rate Type" prompt="Fixed Rate - rate does not change_x000a_Adjustable Rate - rate is tied to a fluctuating index_x000a_Step Rate - rate adjusts, but is not tied to an index (e.g. HAMP mods)" sqref="N12">
      <formula1>"Fixed Rate, Adjustable Rate, Step Rate"</formula1>
    </dataValidation>
    <dataValidation allowBlank="1" showInputMessage="1" showErrorMessage="1" promptTitle="Date of First Payment" prompt="Enter the date on which the first payment was due.  This is different than the origination date." sqref="K14"/>
    <dataValidation allowBlank="1" showInputMessage="1" showErrorMessage="1" promptTitle="Monthly Fixed Income" prompt="Fixed income provided on a monthly basis._x000a__x000a_Examples include SSA, SSD and pension payments." sqref="B36 F36 F18 B18"/>
    <dataValidation allowBlank="1" showInputMessage="1" showErrorMessage="1" promptTitle="Monthly Untaxed Income" prompt="Income that is not subject to federal income tax._x000a__x000a_Examples include SSI, SNAP, VA benefits and adoption assistance payments." sqref="B37 F37 F19 B19"/>
    <dataValidation type="list" allowBlank="1" showInputMessage="1" showErrorMessage="1" sqref="F10">
      <formula1>"Yes, No"</formula1>
    </dataValidation>
    <dataValidation allowBlank="1" showInputMessage="1" showErrorMessage="1" promptTitle="Monthly Contribution" prompt="Money provided on a monthly basis to the mortgage by a non-borrower occupant." sqref="B17 F17"/>
    <dataValidation type="list" allowBlank="1" showInputMessage="1" showErrorMessage="1" sqref="F13 F32">
      <formula1>"Weekly, Biweekly, Bimonthly, Monthly, Annual, YTD"</formula1>
    </dataValidation>
    <dataValidation type="list" allowBlank="1" showInputMessage="1" showErrorMessage="1" sqref="N5">
      <formula1>"Fannie Mae, Freddie Mac"</formula1>
    </dataValidation>
    <dataValidation allowBlank="1" showInputMessage="1" showErrorMessage="1" promptTitle="Balloon Payment" prompt="Enter amount of interest-bearing balloon on the loan.  In an amortizing loan, this is amount is zero." sqref="N13"/>
    <dataValidation allowBlank="1" showInputMessage="1" showErrorMessage="1" promptTitle="Forbearance" prompt="Enter the amount of non-interest-bearing principal forbearance." sqref="N15"/>
    <dataValidation type="date" allowBlank="1" showErrorMessage="1" errorTitle="Improper Date" error="Default Date cell must contain a valid date after the first payment is due, but before today." promptTitle="Default Date" prompt="Enter the date of default" sqref="N24">
      <formula1>N14</formula1>
      <formula2>N25</formula2>
    </dataValidation>
  </dataValidations>
  <pageMargins left="0.75" right="0.75" top="1" bottom="1" header="0.5" footer="0.5"/>
  <pageSetup scale="82" orientation="landscape" r:id="rId1"/>
  <headerFooter alignWithMargins="0">
    <oddHeader>&amp;L&amp;14&amp;F&amp;10
Run on: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autoPageBreaks="0"/>
  </sheetPr>
  <dimension ref="A1:R43"/>
  <sheetViews>
    <sheetView showGridLines="0" zoomScaleNormal="100" workbookViewId="0">
      <selection activeCell="P11" sqref="P11"/>
    </sheetView>
  </sheetViews>
  <sheetFormatPr defaultRowHeight="12.75" x14ac:dyDescent="0.2"/>
  <cols>
    <col min="1" max="1" width="3" style="46" customWidth="1"/>
    <col min="2" max="3" width="9.140625" style="46"/>
    <col min="4" max="4" width="12.7109375" style="46" customWidth="1"/>
    <col min="5" max="5" width="15.42578125" style="46" customWidth="1"/>
    <col min="6" max="6" width="8.85546875" style="46" customWidth="1"/>
    <col min="7" max="7" width="10" style="46" customWidth="1"/>
    <col min="8" max="8" width="4.42578125" style="46" customWidth="1"/>
    <col min="9" max="9" width="6.42578125" style="46" customWidth="1"/>
    <col min="10" max="10" width="6.28515625" style="46" customWidth="1"/>
    <col min="11" max="11" width="12.85546875" style="46" customWidth="1"/>
    <col min="12" max="12" width="7.42578125" style="46" customWidth="1"/>
    <col min="13" max="13" width="3.140625" style="46" customWidth="1"/>
    <col min="14" max="14" width="4.7109375" style="46" customWidth="1"/>
    <col min="15" max="15" width="10.42578125" style="46" customWidth="1"/>
    <col min="16" max="16" width="17.7109375" style="46" customWidth="1"/>
    <col min="17" max="17" width="2.140625" style="46" customWidth="1"/>
    <col min="18" max="18" width="2.7109375" style="90" customWidth="1"/>
    <col min="19" max="16384" width="9.140625" style="46"/>
  </cols>
  <sheetData>
    <row r="1" spans="1:18" ht="18.75" x14ac:dyDescent="0.3">
      <c r="A1" s="244" t="str">
        <f>IF(Owner=1,"FANNIE MAE FLEX MODIFICATION","FREDDIE MAC FLEX MODIFICATION")</f>
        <v>FANNIE MAE FLEX MODIFICATION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6"/>
    </row>
    <row r="2" spans="1:18" x14ac:dyDescent="0.2">
      <c r="A2" s="43"/>
      <c r="B2" s="89" t="str">
        <f>IF(Q43="MFY's Proprietary Waterfall Worksheet for HAMP Tiers 1 and 2","","MFY's Proprietary Waterfall Worksheet for HAMP Tiers 1 and 2")</f>
        <v>MFY's Proprietary Waterfall Worksheet for HAMP Tiers 1 and 2</v>
      </c>
      <c r="C2" s="44"/>
      <c r="D2" s="44"/>
      <c r="E2" s="44"/>
      <c r="F2" s="44"/>
      <c r="G2" s="44"/>
      <c r="H2" s="45"/>
      <c r="I2" s="44"/>
      <c r="J2" s="44"/>
      <c r="K2" s="44"/>
      <c r="L2" s="44"/>
      <c r="M2" s="44"/>
      <c r="N2" s="44"/>
      <c r="O2" s="44"/>
      <c r="P2" s="44"/>
      <c r="Q2" s="44"/>
      <c r="R2" s="117"/>
    </row>
    <row r="3" spans="1:18" ht="12.75" customHeight="1" x14ac:dyDescent="0.2">
      <c r="A3" s="47"/>
      <c r="B3" s="48"/>
      <c r="C3" s="49"/>
      <c r="D3" s="50"/>
      <c r="E3" s="49"/>
      <c r="F3" s="49"/>
      <c r="G3" s="49"/>
      <c r="H3" s="51"/>
      <c r="I3" s="241" t="s">
        <v>90</v>
      </c>
      <c r="J3" s="242"/>
      <c r="K3" s="242"/>
      <c r="L3" s="242"/>
      <c r="M3" s="242"/>
      <c r="N3" s="242"/>
      <c r="O3" s="242"/>
      <c r="P3" s="242"/>
      <c r="Q3" s="242"/>
      <c r="R3" s="243"/>
    </row>
    <row r="4" spans="1:18" x14ac:dyDescent="0.2">
      <c r="A4" s="47"/>
      <c r="B4" s="49"/>
      <c r="C4" s="49"/>
      <c r="D4" s="247" t="s">
        <v>54</v>
      </c>
      <c r="E4" s="247"/>
      <c r="F4" s="49"/>
      <c r="G4" s="49"/>
      <c r="H4" s="51"/>
      <c r="I4" s="49"/>
      <c r="J4" s="49"/>
      <c r="K4" s="49"/>
      <c r="L4" s="49"/>
      <c r="M4" s="49"/>
      <c r="N4" s="49"/>
      <c r="O4" s="49"/>
      <c r="P4" s="49"/>
      <c r="Q4" s="49"/>
      <c r="R4" s="113"/>
    </row>
    <row r="5" spans="1:18" x14ac:dyDescent="0.2">
      <c r="A5" s="47"/>
      <c r="B5" s="49"/>
      <c r="C5" s="49"/>
      <c r="D5" s="129" t="s">
        <v>6</v>
      </c>
      <c r="E5" s="130" t="s">
        <v>18</v>
      </c>
      <c r="F5" s="49"/>
      <c r="G5" s="49"/>
      <c r="H5" s="51"/>
      <c r="I5" s="49"/>
      <c r="J5" s="49" t="s">
        <v>8</v>
      </c>
      <c r="K5" s="49"/>
      <c r="L5" s="49"/>
      <c r="M5" s="49"/>
      <c r="N5" s="49"/>
      <c r="O5" s="49"/>
      <c r="P5" s="40">
        <f>Inputs!F9</f>
        <v>350000</v>
      </c>
      <c r="Q5" s="49"/>
      <c r="R5" s="113"/>
    </row>
    <row r="6" spans="1:18" x14ac:dyDescent="0.2">
      <c r="A6" s="47"/>
      <c r="B6" s="52"/>
      <c r="C6" s="52"/>
      <c r="D6" s="131" t="s">
        <v>19</v>
      </c>
      <c r="E6" s="132" t="s">
        <v>53</v>
      </c>
      <c r="F6" s="49"/>
      <c r="G6" s="49"/>
      <c r="H6" s="51"/>
      <c r="I6" s="49"/>
      <c r="J6" s="87" t="s">
        <v>61</v>
      </c>
      <c r="K6" s="49"/>
      <c r="L6" s="49"/>
      <c r="M6" s="49"/>
      <c r="N6" s="49"/>
      <c r="O6" s="49"/>
      <c r="P6" s="53">
        <f ca="1">UPB</f>
        <v>343921.7201563585</v>
      </c>
      <c r="Q6" s="49"/>
      <c r="R6" s="114"/>
    </row>
    <row r="7" spans="1:18" x14ac:dyDescent="0.2">
      <c r="A7" s="47"/>
      <c r="B7" s="49"/>
      <c r="C7" s="49"/>
      <c r="D7" s="49"/>
      <c r="E7" s="49"/>
      <c r="F7" s="49"/>
      <c r="G7" s="49"/>
      <c r="H7" s="51"/>
      <c r="I7" s="49"/>
      <c r="J7" s="49" t="s">
        <v>71</v>
      </c>
      <c r="K7" s="49"/>
      <c r="L7" s="49"/>
      <c r="M7" s="49"/>
      <c r="N7" s="49"/>
      <c r="O7" s="49"/>
      <c r="P7" s="54">
        <f ca="1">P6/P5</f>
        <v>0.98263348616102431</v>
      </c>
      <c r="Q7" s="109"/>
      <c r="R7" s="114"/>
    </row>
    <row r="8" spans="1:18" x14ac:dyDescent="0.2">
      <c r="A8" s="47"/>
      <c r="B8" s="55" t="s">
        <v>2</v>
      </c>
      <c r="C8" s="55"/>
      <c r="D8" s="55"/>
      <c r="E8" s="56">
        <f>GMI</f>
        <v>4175</v>
      </c>
      <c r="F8" s="49"/>
      <c r="G8" s="49"/>
      <c r="H8" s="51"/>
      <c r="I8" s="49"/>
      <c r="J8" s="49"/>
      <c r="K8" s="49"/>
      <c r="L8" s="49"/>
      <c r="M8" s="49"/>
      <c r="N8" s="49"/>
      <c r="O8" s="49"/>
      <c r="P8" s="57"/>
      <c r="Q8" s="49"/>
      <c r="R8" s="114"/>
    </row>
    <row r="9" spans="1:18" x14ac:dyDescent="0.2">
      <c r="A9" s="47"/>
      <c r="B9" s="49"/>
      <c r="C9" s="49"/>
      <c r="D9" s="49"/>
      <c r="E9" s="49"/>
      <c r="F9" s="49"/>
      <c r="G9" s="49"/>
      <c r="H9" s="51"/>
      <c r="I9" s="49"/>
      <c r="J9" s="55" t="s">
        <v>86</v>
      </c>
      <c r="K9" s="49"/>
      <c r="L9" s="49"/>
      <c r="M9" s="49"/>
      <c r="N9" s="49"/>
      <c r="O9" s="49"/>
      <c r="P9" s="58" t="str">
        <f ca="1">IF(P7&gt;1.15,"YES","NO")</f>
        <v>NO</v>
      </c>
      <c r="Q9" s="49"/>
      <c r="R9" s="114"/>
    </row>
    <row r="10" spans="1:18" x14ac:dyDescent="0.2">
      <c r="A10" s="47"/>
      <c r="B10" s="49"/>
      <c r="C10" s="49"/>
      <c r="D10" s="49"/>
      <c r="E10" s="49"/>
      <c r="F10" s="49"/>
      <c r="G10" s="49"/>
      <c r="H10" s="51"/>
      <c r="I10" s="49"/>
      <c r="J10" s="49"/>
      <c r="K10" s="59" t="str">
        <f ca="1">IF(P9="No","Proceed to Step 5","")</f>
        <v>Proceed to Step 5</v>
      </c>
      <c r="L10" s="59"/>
      <c r="M10" s="59"/>
      <c r="N10" s="49"/>
      <c r="O10" s="49"/>
      <c r="P10" s="49"/>
      <c r="Q10" s="49"/>
      <c r="R10" s="113"/>
    </row>
    <row r="11" spans="1:18" ht="15.75" x14ac:dyDescent="0.25">
      <c r="A11" s="47"/>
      <c r="B11" s="60" t="s">
        <v>16</v>
      </c>
      <c r="C11" s="49"/>
      <c r="D11" s="49"/>
      <c r="E11" s="61"/>
      <c r="F11" s="49"/>
      <c r="G11" s="49"/>
      <c r="H11" s="51"/>
      <c r="I11" s="49"/>
      <c r="J11" s="55" t="s">
        <v>69</v>
      </c>
      <c r="K11" s="55"/>
      <c r="L11" s="55"/>
      <c r="M11" s="55"/>
      <c r="N11" s="55"/>
      <c r="O11" s="55"/>
      <c r="P11" s="62"/>
      <c r="Q11" s="49"/>
      <c r="R11" s="113"/>
    </row>
    <row r="12" spans="1:18" x14ac:dyDescent="0.2">
      <c r="A12" s="47"/>
      <c r="B12" s="49"/>
      <c r="C12" s="49"/>
      <c r="D12" s="49"/>
      <c r="E12" s="61"/>
      <c r="F12" s="49"/>
      <c r="G12" s="49"/>
      <c r="H12" s="51"/>
      <c r="I12" s="49"/>
      <c r="J12" s="87" t="s">
        <v>87</v>
      </c>
      <c r="K12" s="55"/>
      <c r="L12" s="55"/>
      <c r="M12" s="55"/>
      <c r="N12" s="55"/>
      <c r="O12" s="55"/>
      <c r="P12" s="55"/>
      <c r="Q12" s="49"/>
      <c r="R12" s="113"/>
    </row>
    <row r="13" spans="1:18" x14ac:dyDescent="0.2">
      <c r="A13" s="47"/>
      <c r="B13" s="87" t="s">
        <v>36</v>
      </c>
      <c r="C13" s="49"/>
      <c r="D13" s="49"/>
      <c r="E13" s="97">
        <f>IF(NOT(Inputs!N12="Fixed Rate"),Inputs!N16,-PMT(Inputs!N11/12,Inputs!N10,Inputs!N9-Inputs!N15,-Inputs!N13))</f>
        <v>1798.6514460425742</v>
      </c>
      <c r="F13" s="49"/>
      <c r="G13" s="49"/>
      <c r="H13" s="51"/>
      <c r="I13" s="49"/>
      <c r="J13" s="49"/>
      <c r="K13" s="49" t="s">
        <v>10</v>
      </c>
      <c r="L13" s="49"/>
      <c r="M13" s="49"/>
      <c r="N13" s="49"/>
      <c r="O13" s="49"/>
      <c r="P13" s="64" t="str">
        <f ca="1">IF(P9="NO","",P5)</f>
        <v/>
      </c>
      <c r="Q13" s="55"/>
      <c r="R13" s="113"/>
    </row>
    <row r="14" spans="1:18" x14ac:dyDescent="0.2">
      <c r="A14" s="47"/>
      <c r="B14" s="49" t="s">
        <v>0</v>
      </c>
      <c r="C14" s="49"/>
      <c r="D14" s="49"/>
      <c r="E14" s="65">
        <f>Inputs!N17</f>
        <v>300</v>
      </c>
      <c r="F14" s="66" t="s">
        <v>4</v>
      </c>
      <c r="G14" s="49"/>
      <c r="H14" s="51"/>
      <c r="I14" s="49"/>
      <c r="J14" s="49"/>
      <c r="K14" s="49" t="s">
        <v>12</v>
      </c>
      <c r="L14" s="49"/>
      <c r="M14" s="49"/>
      <c r="N14" s="49"/>
      <c r="O14" s="49"/>
      <c r="P14" s="64" t="str">
        <f ca="1">IF(P9="NO","",E27-P13)</f>
        <v/>
      </c>
      <c r="Q14" s="55"/>
      <c r="R14" s="113"/>
    </row>
    <row r="15" spans="1:18" x14ac:dyDescent="0.2">
      <c r="A15" s="47"/>
      <c r="B15" s="49" t="s">
        <v>1</v>
      </c>
      <c r="C15" s="49"/>
      <c r="D15" s="49"/>
      <c r="E15" s="139">
        <f>Inputs!N18</f>
        <v>120</v>
      </c>
      <c r="F15" s="66" t="s">
        <v>4</v>
      </c>
      <c r="G15" s="49"/>
      <c r="H15" s="51"/>
      <c r="I15" s="49"/>
      <c r="J15" s="87" t="s">
        <v>55</v>
      </c>
      <c r="K15" s="49"/>
      <c r="L15" s="49"/>
      <c r="M15" s="49"/>
      <c r="N15" s="49"/>
      <c r="O15" s="49"/>
      <c r="P15" s="67"/>
      <c r="Q15" s="49"/>
      <c r="R15" s="113"/>
    </row>
    <row r="16" spans="1:18" x14ac:dyDescent="0.2">
      <c r="A16" s="47"/>
      <c r="B16" s="49" t="s">
        <v>3</v>
      </c>
      <c r="C16" s="49"/>
      <c r="D16" s="49"/>
      <c r="E16" s="79">
        <f>Inputs!N19</f>
        <v>0</v>
      </c>
      <c r="F16" s="66" t="s">
        <v>4</v>
      </c>
      <c r="G16" s="49"/>
      <c r="H16" s="51"/>
      <c r="I16" s="49"/>
      <c r="J16" s="49"/>
      <c r="K16" s="49" t="s">
        <v>10</v>
      </c>
      <c r="L16" s="49"/>
      <c r="M16" s="49"/>
      <c r="N16" s="49"/>
      <c r="O16" s="49"/>
      <c r="P16" s="137">
        <f ca="1">E27*0.7</f>
        <v>240745.20410945092</v>
      </c>
      <c r="Q16" s="49"/>
      <c r="R16" s="113"/>
    </row>
    <row r="17" spans="1:18" x14ac:dyDescent="0.2">
      <c r="A17" s="47"/>
      <c r="B17" s="50"/>
      <c r="C17" s="49"/>
      <c r="D17" s="49"/>
      <c r="E17" s="81"/>
      <c r="F17" s="68"/>
      <c r="G17" s="49"/>
      <c r="H17" s="51"/>
      <c r="I17" s="49"/>
      <c r="J17" s="49"/>
      <c r="K17" s="49" t="s">
        <v>12</v>
      </c>
      <c r="L17" s="49"/>
      <c r="M17" s="49"/>
      <c r="N17" s="49"/>
      <c r="O17" s="49"/>
      <c r="P17" s="64" t="str">
        <f ca="1">IF(P9="NO","",E27*0.3)</f>
        <v/>
      </c>
      <c r="Q17" s="49"/>
      <c r="R17" s="113"/>
    </row>
    <row r="18" spans="1:18" x14ac:dyDescent="0.2">
      <c r="A18" s="47"/>
      <c r="B18" s="55" t="s">
        <v>17</v>
      </c>
      <c r="C18" s="55"/>
      <c r="D18" s="55"/>
      <c r="E18" s="80">
        <f>SUM(E13:E17)</f>
        <v>2218.6514460425742</v>
      </c>
      <c r="F18" s="66"/>
      <c r="G18" s="49"/>
      <c r="H18" s="51"/>
      <c r="I18" s="49"/>
      <c r="J18" s="70" t="s">
        <v>11</v>
      </c>
      <c r="K18" s="49"/>
      <c r="L18" s="49"/>
      <c r="M18" s="49"/>
      <c r="N18" s="49"/>
      <c r="O18" s="49"/>
      <c r="P18" s="71" t="str">
        <f ca="1">IF(P14&lt;P17,P14,P17)</f>
        <v/>
      </c>
      <c r="Q18" s="49"/>
      <c r="R18" s="113"/>
    </row>
    <row r="19" spans="1:18" x14ac:dyDescent="0.2">
      <c r="A19" s="47"/>
      <c r="B19" s="49"/>
      <c r="C19" s="49"/>
      <c r="D19" s="49"/>
      <c r="E19" s="61"/>
      <c r="F19" s="49"/>
      <c r="G19" s="49"/>
      <c r="H19" s="51"/>
      <c r="I19" s="49"/>
      <c r="J19" s="49"/>
      <c r="K19" s="49"/>
      <c r="L19" s="49"/>
      <c r="M19" s="49"/>
      <c r="N19" s="49"/>
      <c r="O19" s="49"/>
      <c r="P19" s="49"/>
      <c r="Q19" s="49"/>
      <c r="R19" s="113"/>
    </row>
    <row r="20" spans="1:18" x14ac:dyDescent="0.2">
      <c r="A20" s="47"/>
      <c r="B20" s="55" t="s">
        <v>15</v>
      </c>
      <c r="C20" s="49"/>
      <c r="D20" s="49"/>
      <c r="E20" s="159">
        <f ca="1">Inputs!N10-ROUNDUP(DAYS360(Inputs!N14,Inputs!N25)/30,0)</f>
        <v>249</v>
      </c>
      <c r="F20" s="50" t="s">
        <v>5</v>
      </c>
      <c r="G20" s="49"/>
      <c r="H20" s="51"/>
      <c r="I20" s="49"/>
      <c r="J20" s="88" t="s">
        <v>42</v>
      </c>
      <c r="K20" s="49"/>
      <c r="L20" s="49"/>
      <c r="M20" s="49"/>
      <c r="N20" s="49"/>
      <c r="O20" s="49"/>
      <c r="P20" s="69">
        <f ca="1">IF(P9="YES",E27-P18,E27)</f>
        <v>343921.7201563585</v>
      </c>
      <c r="Q20" s="49"/>
      <c r="R20" s="113"/>
    </row>
    <row r="21" spans="1:18" x14ac:dyDescent="0.2">
      <c r="A21" s="47"/>
      <c r="B21" s="55"/>
      <c r="C21" s="49"/>
      <c r="D21" s="49"/>
      <c r="E21" s="98"/>
      <c r="F21" s="50"/>
      <c r="G21" s="49"/>
      <c r="H21" s="51"/>
      <c r="I21" s="49"/>
      <c r="J21" s="49"/>
      <c r="K21" s="49"/>
      <c r="L21" s="49"/>
      <c r="M21" s="49"/>
      <c r="N21" s="49"/>
      <c r="O21" s="49"/>
      <c r="P21" s="49"/>
      <c r="Q21" s="49"/>
      <c r="R21" s="113"/>
    </row>
    <row r="22" spans="1:18" x14ac:dyDescent="0.2">
      <c r="A22" s="47"/>
      <c r="B22" s="49"/>
      <c r="C22" s="49"/>
      <c r="D22" s="49"/>
      <c r="E22" s="49"/>
      <c r="F22" s="49"/>
      <c r="G22" s="49"/>
      <c r="H22" s="51"/>
      <c r="I22" s="241" t="s">
        <v>91</v>
      </c>
      <c r="J22" s="242"/>
      <c r="K22" s="242"/>
      <c r="L22" s="242"/>
      <c r="M22" s="242"/>
      <c r="N22" s="242"/>
      <c r="O22" s="242"/>
      <c r="P22" s="242"/>
      <c r="Q22" s="242"/>
      <c r="R22" s="243"/>
    </row>
    <row r="23" spans="1:18" x14ac:dyDescent="0.2">
      <c r="A23" s="241" t="s">
        <v>76</v>
      </c>
      <c r="B23" s="242"/>
      <c r="C23" s="242"/>
      <c r="D23" s="242"/>
      <c r="E23" s="242"/>
      <c r="F23" s="242"/>
      <c r="G23" s="243"/>
      <c r="H23" s="51"/>
      <c r="I23" s="49"/>
      <c r="J23" s="72"/>
      <c r="K23" s="49"/>
      <c r="L23" s="49"/>
      <c r="M23" s="49"/>
      <c r="N23" s="49"/>
      <c r="O23" s="49"/>
      <c r="P23" s="49"/>
      <c r="Q23" s="49"/>
      <c r="R23" s="113"/>
    </row>
    <row r="24" spans="1:18" x14ac:dyDescent="0.2">
      <c r="A24" s="47"/>
      <c r="B24" s="59"/>
      <c r="C24" s="49"/>
      <c r="D24" s="49"/>
      <c r="E24" s="61"/>
      <c r="F24" s="49"/>
      <c r="G24" s="49"/>
      <c r="H24" s="51"/>
      <c r="J24" s="181" t="str">
        <f ca="1">IF(Inputs!N26&gt;3,"Borrower Over 90 Days in Default. Target P&amp;I Reduction Only","Borrower Less Than 90 Days Delinquent. Target P&amp;I Reduction and HTI")</f>
        <v>Borrower Over 90 Days in Default. Target P&amp;I Reduction Only</v>
      </c>
      <c r="K24" s="179"/>
      <c r="L24" s="179"/>
      <c r="M24" s="179"/>
      <c r="N24" s="179"/>
      <c r="O24" s="179"/>
      <c r="P24" s="179"/>
      <c r="Q24" s="179"/>
      <c r="R24" s="180"/>
    </row>
    <row r="25" spans="1:18" x14ac:dyDescent="0.2">
      <c r="A25" s="47"/>
      <c r="B25" s="87" t="s">
        <v>62</v>
      </c>
      <c r="C25" s="49"/>
      <c r="D25" s="49"/>
      <c r="E25" s="65">
        <f>Inputs!N27</f>
        <v>272904.36671031592</v>
      </c>
      <c r="F25" s="49"/>
      <c r="G25" s="49"/>
      <c r="H25" s="51"/>
      <c r="I25" s="49"/>
      <c r="J25" s="87" t="s">
        <v>92</v>
      </c>
      <c r="K25" s="49"/>
      <c r="L25" s="49"/>
      <c r="M25" s="49"/>
      <c r="N25" s="49"/>
      <c r="O25" s="49"/>
      <c r="P25" s="172">
        <f ca="1">-PV(E35/12,E41,E13*0.8)</f>
        <v>331839.05112927477</v>
      </c>
      <c r="Q25" s="49"/>
      <c r="R25" s="113"/>
    </row>
    <row r="26" spans="1:18" x14ac:dyDescent="0.2">
      <c r="A26" s="47"/>
      <c r="B26" s="87" t="str">
        <f>IF(Inputs!N15&gt;0,"Arrears and Forbearance","Total Eligible Arrears")</f>
        <v>Total Eligible Arrears</v>
      </c>
      <c r="C26" s="49"/>
      <c r="D26" s="49"/>
      <c r="E26" s="65">
        <f ca="1">Inputs!$N$34</f>
        <v>71017.353446042573</v>
      </c>
      <c r="F26" s="86" t="str">
        <f>IF(infotype=3,"","+")</f>
        <v>+</v>
      </c>
      <c r="G26" s="49"/>
      <c r="H26" s="51"/>
      <c r="I26" s="49"/>
      <c r="J26" s="164" t="str">
        <f ca="1">IF(Inputs!N26&gt;3,"","Target Amortizing UPB for 40% HTI")</f>
        <v/>
      </c>
      <c r="P26" s="173">
        <f ca="1">-PV(E35/12,E41,0.4*GMI-(SUM(E14:E16)))</f>
        <v>288270.70332626242</v>
      </c>
      <c r="Q26" s="49"/>
      <c r="R26" s="113"/>
    </row>
    <row r="27" spans="1:18" x14ac:dyDescent="0.2">
      <c r="A27" s="47"/>
      <c r="B27" s="55" t="s">
        <v>34</v>
      </c>
      <c r="C27" s="55"/>
      <c r="D27" s="55"/>
      <c r="E27" s="69">
        <f ca="1">SUM(E25:E26)</f>
        <v>343921.7201563585</v>
      </c>
      <c r="F27" s="66"/>
      <c r="G27" s="49"/>
      <c r="H27" s="51"/>
      <c r="J27" s="164" t="s">
        <v>103</v>
      </c>
      <c r="P27" s="173">
        <f ca="1">IF(OR(Inputs!N26&gt;3,'Flex Mod'!P26&gt;'Flex Mod'!P25),IF(P25&gt;P20,0,P20-P25),IF(P26&gt;P20,0,P20-P26))</f>
        <v>12082.669027083728</v>
      </c>
      <c r="Q27" s="49"/>
      <c r="R27" s="113"/>
    </row>
    <row r="28" spans="1:18" x14ac:dyDescent="0.2">
      <c r="A28" s="47"/>
      <c r="B28" s="49"/>
      <c r="C28" s="49"/>
      <c r="D28" s="49"/>
      <c r="E28" s="61"/>
      <c r="F28" s="49"/>
      <c r="G28" s="49"/>
      <c r="H28" s="51"/>
      <c r="I28" s="49"/>
      <c r="Q28" s="57"/>
      <c r="R28" s="113"/>
    </row>
    <row r="29" spans="1:18" x14ac:dyDescent="0.2">
      <c r="A29" s="47"/>
      <c r="B29" s="49"/>
      <c r="C29" s="49"/>
      <c r="D29" s="49"/>
      <c r="E29" s="61"/>
      <c r="F29" s="49"/>
      <c r="G29" s="49"/>
      <c r="H29" s="51"/>
      <c r="I29" s="49"/>
      <c r="J29" s="55" t="s">
        <v>93</v>
      </c>
      <c r="K29" s="49"/>
      <c r="L29" s="152"/>
      <c r="M29" s="153"/>
      <c r="N29" s="152"/>
      <c r="O29" s="151"/>
      <c r="P29" s="98"/>
      <c r="Q29" s="49"/>
      <c r="R29" s="113"/>
    </row>
    <row r="30" spans="1:18" ht="12.75" customHeight="1" x14ac:dyDescent="0.2">
      <c r="A30" s="241" t="s">
        <v>88</v>
      </c>
      <c r="B30" s="242"/>
      <c r="C30" s="242"/>
      <c r="D30" s="242"/>
      <c r="E30" s="242"/>
      <c r="F30" s="242"/>
      <c r="G30" s="243"/>
      <c r="H30" s="51"/>
      <c r="I30" s="49"/>
      <c r="J30" s="87"/>
      <c r="K30" s="87" t="s">
        <v>94</v>
      </c>
      <c r="L30" s="49"/>
      <c r="M30" s="49"/>
      <c r="N30" s="49"/>
      <c r="O30" s="49"/>
      <c r="P30" s="137">
        <f ca="1">IF(P20-P5*0.8&lt;0,0,P20-P5*0.8)</f>
        <v>63921.720156358497</v>
      </c>
      <c r="Q30" s="49"/>
      <c r="R30" s="113"/>
    </row>
    <row r="31" spans="1:18" x14ac:dyDescent="0.2">
      <c r="A31" s="47"/>
      <c r="B31" s="49"/>
      <c r="C31" s="49"/>
      <c r="D31" s="49"/>
      <c r="E31" s="61"/>
      <c r="F31" s="49"/>
      <c r="G31" s="49"/>
      <c r="H31" s="51"/>
      <c r="I31" s="49"/>
      <c r="J31" s="49"/>
      <c r="K31" s="87" t="s">
        <v>95</v>
      </c>
      <c r="L31" s="49"/>
      <c r="M31" s="49"/>
      <c r="N31" s="49"/>
      <c r="O31" s="49"/>
      <c r="P31" s="173">
        <f ca="1">P20-UPB*0.7</f>
        <v>103176.51604690758</v>
      </c>
      <c r="Q31" s="49"/>
      <c r="R31" s="113"/>
    </row>
    <row r="32" spans="1:18" x14ac:dyDescent="0.2">
      <c r="A32" s="47"/>
      <c r="B32" s="14" t="str">
        <f ca="1">IF(AND(MTMLTV&lt;0.8,OR(RateType="Fixed Rate",Inputs!N11=Inputs!N13)),"Keep Current Rate:","Lesser of:")</f>
        <v>Lesser of:</v>
      </c>
      <c r="C32" s="1"/>
      <c r="D32" s="1"/>
      <c r="E32" s="1"/>
      <c r="F32" s="55"/>
      <c r="G32" s="63"/>
      <c r="H32" s="73"/>
      <c r="I32" s="49"/>
      <c r="J32" s="87" t="s">
        <v>96</v>
      </c>
      <c r="K32" s="87"/>
      <c r="L32" s="87"/>
      <c r="M32" s="87"/>
      <c r="N32" s="49"/>
      <c r="O32" s="49"/>
      <c r="P32" s="173">
        <f ca="1">IF(AND(P27&lt;P30,P27&lt;P31),P27,IF(P30&gt;P31,P31,P30))</f>
        <v>12082.669027083728</v>
      </c>
      <c r="Q32" s="49"/>
      <c r="R32" s="113"/>
    </row>
    <row r="33" spans="1:18" x14ac:dyDescent="0.2">
      <c r="A33" s="47"/>
      <c r="B33" s="115" t="str">
        <f ca="1">IF(AND(MTMLTV&lt;0.8,OR(RateType="Fixed Rate",Inputs!N11=Inputs!N13)),"",IF(Owner=1,"Fannie Mae Mod Rate",IF(Owner=2,"Freddie Standard Mod Rate",0)))</f>
        <v>Fannie Mae Mod Rate</v>
      </c>
      <c r="C33" s="15"/>
      <c r="D33" s="1"/>
      <c r="E33" s="161">
        <f>Inputs!N6</f>
        <v>4.2500000000000003E-2</v>
      </c>
      <c r="F33" s="55"/>
      <c r="G33" s="63"/>
      <c r="H33" s="73"/>
      <c r="I33" s="49"/>
      <c r="Q33" s="110"/>
      <c r="R33" s="113"/>
    </row>
    <row r="34" spans="1:18" x14ac:dyDescent="0.2">
      <c r="A34" s="47"/>
      <c r="B34" s="84" t="str">
        <f>IF(RateType="Fixed Rate","Current Rate",Inputs!K13)</f>
        <v>Current Rate</v>
      </c>
      <c r="C34" s="2"/>
      <c r="D34" s="2"/>
      <c r="E34" s="162">
        <f>IF(RateType="Fixed Rate",Inputs!N11,Inputs!N13)</f>
        <v>0.06</v>
      </c>
      <c r="F34" s="55"/>
      <c r="G34" s="63"/>
      <c r="H34" s="73"/>
      <c r="I34" s="248" t="str">
        <f ca="1">IF(-PMT(E35/12,E41,P20-P32)&gt;E13,"P&amp;I Reduction Not Possible; Borrower Ineligible","MODIFICATION RESULTS")</f>
        <v>MODIFICATION RESULTS</v>
      </c>
      <c r="J34" s="248"/>
      <c r="K34" s="248"/>
      <c r="L34" s="248"/>
      <c r="M34" s="248"/>
      <c r="N34" s="248"/>
      <c r="O34" s="248"/>
      <c r="P34" s="249"/>
      <c r="Q34" s="248"/>
      <c r="R34" s="248"/>
    </row>
    <row r="35" spans="1:18" x14ac:dyDescent="0.2">
      <c r="A35" s="47"/>
      <c r="B35" s="55" t="s">
        <v>84</v>
      </c>
      <c r="C35" s="59"/>
      <c r="D35" s="49"/>
      <c r="E35" s="163">
        <f ca="1">VLOOKUP(RateType,RateTable,3,FALSE)</f>
        <v>4.2500000000000003E-2</v>
      </c>
      <c r="F35" s="55"/>
      <c r="G35" s="63"/>
      <c r="H35" s="73"/>
      <c r="I35" s="175"/>
      <c r="J35" s="175"/>
      <c r="K35" s="175"/>
      <c r="L35" s="175"/>
      <c r="M35" s="175"/>
      <c r="N35" s="175"/>
      <c r="O35" s="175"/>
      <c r="P35" s="177"/>
      <c r="Q35" s="175"/>
      <c r="R35" s="176"/>
    </row>
    <row r="36" spans="1:18" x14ac:dyDescent="0.2">
      <c r="A36" s="47"/>
      <c r="B36" s="49"/>
      <c r="C36" s="49"/>
      <c r="D36" s="49"/>
      <c r="E36" s="49"/>
      <c r="F36" s="55"/>
      <c r="G36" s="49"/>
      <c r="H36" s="73"/>
      <c r="I36" s="49"/>
      <c r="J36" s="87" t="s">
        <v>98</v>
      </c>
      <c r="K36" s="49"/>
      <c r="L36" s="49"/>
      <c r="M36" s="49"/>
      <c r="N36" s="49"/>
      <c r="O36" s="49"/>
      <c r="P36" s="174">
        <f ca="1">-PMT(TierTwo/12,480,P38-P39)</f>
        <v>1438.9211568340781</v>
      </c>
      <c r="Q36" s="50"/>
      <c r="R36" s="113"/>
    </row>
    <row r="37" spans="1:18" x14ac:dyDescent="0.2">
      <c r="A37" s="47"/>
      <c r="B37" s="55"/>
      <c r="C37" s="55"/>
      <c r="D37" s="55"/>
      <c r="E37" s="74"/>
      <c r="F37" s="55"/>
      <c r="G37" s="49"/>
      <c r="H37" s="51"/>
      <c r="I37" s="49"/>
      <c r="J37" s="87" t="s">
        <v>99</v>
      </c>
      <c r="K37" s="49"/>
      <c r="L37" s="49"/>
      <c r="M37" s="49"/>
      <c r="N37" s="49"/>
      <c r="O37" s="49"/>
      <c r="P37" s="168">
        <f ca="1">PIREDUCTION+SUM(E14:E16)</f>
        <v>1858.9211568340781</v>
      </c>
      <c r="Q37" s="50"/>
      <c r="R37" s="113"/>
    </row>
    <row r="38" spans="1:18" x14ac:dyDescent="0.2">
      <c r="A38" s="47"/>
      <c r="B38" s="55"/>
      <c r="C38" s="49"/>
      <c r="D38" s="49"/>
      <c r="E38" s="49"/>
      <c r="F38" s="49"/>
      <c r="G38" s="49"/>
      <c r="H38" s="51"/>
      <c r="I38" s="49"/>
      <c r="J38" s="165" t="s">
        <v>97</v>
      </c>
      <c r="K38" s="49"/>
      <c r="L38" s="49"/>
      <c r="M38" s="49"/>
      <c r="N38" s="49"/>
      <c r="O38" s="49"/>
      <c r="P38" s="167">
        <f ca="1">UPB</f>
        <v>343921.7201563585</v>
      </c>
      <c r="Q38" s="50"/>
      <c r="R38" s="113"/>
    </row>
    <row r="39" spans="1:18" x14ac:dyDescent="0.2">
      <c r="A39" s="241" t="s">
        <v>89</v>
      </c>
      <c r="B39" s="242"/>
      <c r="C39" s="242"/>
      <c r="D39" s="242"/>
      <c r="E39" s="242"/>
      <c r="F39" s="242"/>
      <c r="G39" s="243"/>
      <c r="H39" s="51"/>
      <c r="I39" s="49"/>
      <c r="J39" s="165" t="s">
        <v>70</v>
      </c>
      <c r="K39" s="49"/>
      <c r="L39" s="49"/>
      <c r="M39" s="49"/>
      <c r="N39" s="49"/>
      <c r="O39" s="49"/>
      <c r="P39" s="169">
        <f ca="1">P38-(P20-P32)</f>
        <v>12082.669027083728</v>
      </c>
      <c r="Q39" s="111"/>
      <c r="R39" s="113"/>
    </row>
    <row r="40" spans="1:18" ht="12.75" customHeight="1" x14ac:dyDescent="0.25">
      <c r="A40" s="47"/>
      <c r="B40" s="49"/>
      <c r="C40" s="49"/>
      <c r="D40" s="49"/>
      <c r="E40" s="75"/>
      <c r="F40" s="49"/>
      <c r="G40" s="49"/>
      <c r="H40" s="51"/>
      <c r="I40" s="49"/>
      <c r="J40" s="87" t="s">
        <v>101</v>
      </c>
      <c r="K40" s="49"/>
      <c r="L40" s="49"/>
      <c r="M40" s="49"/>
      <c r="N40" s="49"/>
      <c r="O40" s="49"/>
      <c r="P40" s="170">
        <f ca="1">E35</f>
        <v>4.2500000000000003E-2</v>
      </c>
      <c r="Q40" s="50"/>
      <c r="R40" s="113"/>
    </row>
    <row r="41" spans="1:18" x14ac:dyDescent="0.2">
      <c r="A41" s="47"/>
      <c r="B41" s="55" t="s">
        <v>7</v>
      </c>
      <c r="C41" s="49"/>
      <c r="D41" s="49"/>
      <c r="E41" s="138">
        <v>480</v>
      </c>
      <c r="F41" s="87" t="s">
        <v>44</v>
      </c>
      <c r="G41" s="49"/>
      <c r="H41" s="51"/>
      <c r="I41" s="49"/>
      <c r="J41" s="87" t="s">
        <v>100</v>
      </c>
      <c r="K41" s="49"/>
      <c r="L41" s="49"/>
      <c r="M41" s="49"/>
      <c r="N41" s="49"/>
      <c r="O41" s="49"/>
      <c r="P41" s="171">
        <v>480</v>
      </c>
      <c r="Q41" s="49"/>
      <c r="R41" s="113"/>
    </row>
    <row r="42" spans="1:18" x14ac:dyDescent="0.2">
      <c r="A42" s="47"/>
      <c r="B42" s="49"/>
      <c r="C42" s="49"/>
      <c r="D42" s="49"/>
      <c r="E42" s="49"/>
      <c r="F42" s="49"/>
      <c r="G42" s="49"/>
      <c r="H42" s="51"/>
      <c r="I42" s="49"/>
      <c r="J42" s="59"/>
      <c r="K42" s="49"/>
      <c r="L42" s="49"/>
      <c r="M42" s="49"/>
      <c r="N42" s="49"/>
      <c r="O42" s="49"/>
      <c r="P42" s="49"/>
      <c r="Q42" s="49"/>
      <c r="R42" s="113"/>
    </row>
    <row r="43" spans="1:18" x14ac:dyDescent="0.2">
      <c r="A43" s="140" t="str">
        <f>VLOOKUP(Owner,Current,2)</f>
        <v>Current as of FNMA Lender Letter 2016-06</v>
      </c>
      <c r="B43" s="76"/>
      <c r="C43" s="76"/>
      <c r="D43" s="76"/>
      <c r="E43" s="76"/>
      <c r="F43" s="76"/>
      <c r="G43" s="76"/>
      <c r="H43" s="51"/>
      <c r="I43" s="76"/>
      <c r="J43" s="76"/>
      <c r="K43" s="76"/>
      <c r="L43" s="76"/>
      <c r="M43" s="76"/>
      <c r="N43" s="76"/>
      <c r="O43" s="76"/>
      <c r="P43" s="76"/>
      <c r="Q43" s="112" t="s">
        <v>59</v>
      </c>
      <c r="R43" s="116"/>
    </row>
  </sheetData>
  <sheetProtection sheet="1" objects="1" scenarios="1"/>
  <customSheetViews>
    <customSheetView guid="{0367687A-2E80-4414-9E57-D64905950517}" showGridLines="0">
      <selection activeCell="D45" sqref="D45"/>
    </customSheetView>
  </customSheetViews>
  <mergeCells count="8">
    <mergeCell ref="A23:G23"/>
    <mergeCell ref="A30:G30"/>
    <mergeCell ref="A39:G39"/>
    <mergeCell ref="I3:R3"/>
    <mergeCell ref="A1:R1"/>
    <mergeCell ref="I22:R22"/>
    <mergeCell ref="D4:E4"/>
    <mergeCell ref="I34:R34"/>
  </mergeCells>
  <phoneticPr fontId="2" type="noConversion"/>
  <conditionalFormatting sqref="J11:P18">
    <cfRule type="expression" dxfId="8" priority="3">
      <formula>IF($P$9="NO",1,0)</formula>
    </cfRule>
  </conditionalFormatting>
  <conditionalFormatting sqref="J36:P41">
    <cfRule type="expression" dxfId="7" priority="1">
      <formula>IF(-PMT($E$35/12,$E$41,$P$20-$P$32)&gt;$E$13,1,0)</formula>
    </cfRule>
  </conditionalFormatting>
  <pageMargins left="0.75" right="0.75" top="1" bottom="1" header="0.5" footer="0.5"/>
  <pageSetup scale="82" orientation="landscape" r:id="rId1"/>
  <headerFooter alignWithMargins="0">
    <oddHeader>&amp;L&amp;14&amp;F&amp;10
Run on: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64A51AD-B770-4254-A356-2498F9128FC0}">
            <xm:f>IF(Inputs!N26&gt;3,1,0)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P26</xm:sqref>
        </x14:conditionalFormatting>
        <x14:conditionalFormatting xmlns:xm="http://schemas.microsoft.com/office/excel/2006/main">
          <x14:cfRule type="expression" priority="2" id="{0556A47E-4635-47AC-B82C-738C02F1ED7D}">
            <xm:f>IF(AND(MTMLTV&lt;0.8,OR(RateType="Fixed Rate",Inputs!N11=Inputs!N13)),1,0)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E33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autoPageBreaks="0"/>
  </sheetPr>
  <dimension ref="A1:R43"/>
  <sheetViews>
    <sheetView showGridLines="0" zoomScaleNormal="100" workbookViewId="0">
      <selection activeCell="K13" sqref="K13"/>
    </sheetView>
  </sheetViews>
  <sheetFormatPr defaultRowHeight="12.75" x14ac:dyDescent="0.2"/>
  <cols>
    <col min="1" max="1" width="3" style="183" customWidth="1"/>
    <col min="2" max="3" width="9.140625" style="183"/>
    <col min="4" max="4" width="12.7109375" style="183" customWidth="1"/>
    <col min="5" max="5" width="15.42578125" style="183" customWidth="1"/>
    <col min="6" max="6" width="8.85546875" style="183" customWidth="1"/>
    <col min="7" max="7" width="10" style="183" customWidth="1"/>
    <col min="8" max="8" width="4.42578125" style="183" customWidth="1"/>
    <col min="9" max="9" width="6.42578125" style="183" customWidth="1"/>
    <col min="10" max="10" width="6.28515625" style="183" customWidth="1"/>
    <col min="11" max="11" width="12.85546875" style="183" customWidth="1"/>
    <col min="12" max="12" width="7.42578125" style="183" customWidth="1"/>
    <col min="13" max="13" width="3.140625" style="183" customWidth="1"/>
    <col min="14" max="14" width="4.7109375" style="183" customWidth="1"/>
    <col min="15" max="15" width="10.42578125" style="183" customWidth="1"/>
    <col min="16" max="16" width="17.7109375" style="183" customWidth="1"/>
    <col min="17" max="17" width="2.140625" style="183" customWidth="1"/>
    <col min="18" max="18" width="2.7109375" style="227" customWidth="1"/>
    <col min="19" max="16384" width="9.140625" style="183"/>
  </cols>
  <sheetData>
    <row r="1" spans="1:18" ht="18.75" x14ac:dyDescent="0.3">
      <c r="A1" s="256" t="str">
        <f>IF(Owner=1,"FANNIE MAE STANDARD MODIFICATION","FREDDIE MAC STANDARD MODIFICATION")</f>
        <v>FANNIE MAE STANDARD MODIFICATION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8"/>
    </row>
    <row r="2" spans="1:18" x14ac:dyDescent="0.2">
      <c r="A2" s="184"/>
      <c r="B2" s="185" t="str">
        <f>IF(Q43="MFY's Proprietary Waterfall Worksheet for HAMP Tiers 1 and 2","","MFY's Proprietary Waterfall Worksheet for HAMP Tiers 1 and 2")</f>
        <v>MFY's Proprietary Waterfall Worksheet for HAMP Tiers 1 and 2</v>
      </c>
      <c r="C2" s="186"/>
      <c r="D2" s="186"/>
      <c r="E2" s="186"/>
      <c r="F2" s="186"/>
      <c r="G2" s="186"/>
      <c r="H2" s="187"/>
      <c r="I2" s="186"/>
      <c r="J2" s="186"/>
      <c r="K2" s="186"/>
      <c r="L2" s="186"/>
      <c r="M2" s="186"/>
      <c r="N2" s="186"/>
      <c r="O2" s="186"/>
      <c r="P2" s="186"/>
      <c r="Q2" s="186"/>
      <c r="R2" s="188"/>
    </row>
    <row r="3" spans="1:18" ht="12.75" customHeight="1" x14ac:dyDescent="0.2">
      <c r="A3" s="189"/>
      <c r="B3" s="190"/>
      <c r="C3" s="191"/>
      <c r="D3" s="192"/>
      <c r="E3" s="191"/>
      <c r="F3" s="191"/>
      <c r="G3" s="191"/>
      <c r="H3" s="193"/>
      <c r="I3" s="250" t="str">
        <f ca="1">IF(UPB&lt;0.8*Value,"MTMLTV&lt;80% - NO FORBEARANCE","FORBEAR PRINCIPAL")</f>
        <v>FORBEAR PRINCIPAL</v>
      </c>
      <c r="J3" s="251"/>
      <c r="K3" s="251"/>
      <c r="L3" s="251"/>
      <c r="M3" s="251"/>
      <c r="N3" s="251"/>
      <c r="O3" s="251"/>
      <c r="P3" s="251"/>
      <c r="Q3" s="251"/>
      <c r="R3" s="252"/>
    </row>
    <row r="4" spans="1:18" x14ac:dyDescent="0.2">
      <c r="A4" s="189"/>
      <c r="B4" s="191"/>
      <c r="C4" s="191"/>
      <c r="D4" s="259" t="s">
        <v>54</v>
      </c>
      <c r="E4" s="259"/>
      <c r="F4" s="191"/>
      <c r="G4" s="191"/>
      <c r="H4" s="193"/>
      <c r="I4" s="191"/>
      <c r="J4" s="191"/>
      <c r="K4" s="191"/>
      <c r="L4" s="191"/>
      <c r="M4" s="191"/>
      <c r="N4" s="191"/>
      <c r="O4" s="191"/>
      <c r="P4" s="191"/>
      <c r="Q4" s="191"/>
      <c r="R4" s="194"/>
    </row>
    <row r="5" spans="1:18" x14ac:dyDescent="0.2">
      <c r="A5" s="189"/>
      <c r="B5" s="191"/>
      <c r="C5" s="191"/>
      <c r="D5" s="195" t="s">
        <v>6</v>
      </c>
      <c r="E5" s="196" t="s">
        <v>18</v>
      </c>
      <c r="F5" s="191"/>
      <c r="G5" s="191"/>
      <c r="H5" s="193"/>
      <c r="I5" s="191"/>
      <c r="J5" s="191" t="s">
        <v>8</v>
      </c>
      <c r="K5" s="191"/>
      <c r="L5" s="191"/>
      <c r="M5" s="191"/>
      <c r="N5" s="191"/>
      <c r="O5" s="191"/>
      <c r="P5" s="40">
        <f>Inputs!F9</f>
        <v>350000</v>
      </c>
      <c r="Q5" s="191"/>
      <c r="R5" s="194"/>
    </row>
    <row r="6" spans="1:18" x14ac:dyDescent="0.2">
      <c r="A6" s="189"/>
      <c r="B6" s="197"/>
      <c r="C6" s="197"/>
      <c r="D6" s="198" t="s">
        <v>19</v>
      </c>
      <c r="E6" s="199" t="s">
        <v>53</v>
      </c>
      <c r="F6" s="191"/>
      <c r="G6" s="191"/>
      <c r="H6" s="193"/>
      <c r="I6" s="191"/>
      <c r="J6" s="200" t="s">
        <v>61</v>
      </c>
      <c r="K6" s="191"/>
      <c r="L6" s="191"/>
      <c r="M6" s="191"/>
      <c r="N6" s="191"/>
      <c r="O6" s="191"/>
      <c r="P6" s="53">
        <f ca="1">UPB</f>
        <v>343921.7201563585</v>
      </c>
      <c r="Q6" s="191"/>
      <c r="R6" s="201"/>
    </row>
    <row r="7" spans="1:18" x14ac:dyDescent="0.2">
      <c r="A7" s="189"/>
      <c r="B7" s="191"/>
      <c r="C7" s="191"/>
      <c r="D7" s="191"/>
      <c r="E7" s="191"/>
      <c r="F7" s="191"/>
      <c r="G7" s="191"/>
      <c r="H7" s="193"/>
      <c r="I7" s="191"/>
      <c r="J7" s="191" t="s">
        <v>71</v>
      </c>
      <c r="K7" s="191"/>
      <c r="L7" s="191"/>
      <c r="M7" s="191"/>
      <c r="N7" s="191"/>
      <c r="O7" s="191"/>
      <c r="P7" s="54">
        <f ca="1">P6/P5</f>
        <v>0.98263348616102431</v>
      </c>
      <c r="Q7" s="203"/>
      <c r="R7" s="201"/>
    </row>
    <row r="8" spans="1:18" x14ac:dyDescent="0.2">
      <c r="A8" s="189"/>
      <c r="B8" s="204" t="s">
        <v>2</v>
      </c>
      <c r="C8" s="204"/>
      <c r="D8" s="204"/>
      <c r="E8" s="56">
        <f>GMI</f>
        <v>4175</v>
      </c>
      <c r="F8" s="191"/>
      <c r="G8" s="191"/>
      <c r="H8" s="193"/>
      <c r="I8" s="191"/>
      <c r="J8" s="191"/>
      <c r="K8" s="191"/>
      <c r="L8" s="191"/>
      <c r="M8" s="191"/>
      <c r="N8" s="191"/>
      <c r="O8" s="191"/>
      <c r="P8" s="205"/>
      <c r="Q8" s="191"/>
      <c r="R8" s="201"/>
    </row>
    <row r="9" spans="1:18" x14ac:dyDescent="0.2">
      <c r="A9" s="189"/>
      <c r="B9" s="191"/>
      <c r="C9" s="191"/>
      <c r="D9" s="191"/>
      <c r="E9" s="191"/>
      <c r="F9" s="191"/>
      <c r="G9" s="191"/>
      <c r="H9" s="193"/>
      <c r="I9" s="191"/>
      <c r="J9" s="204" t="s">
        <v>75</v>
      </c>
      <c r="K9" s="191"/>
      <c r="L9" s="191"/>
      <c r="M9" s="191"/>
      <c r="N9" s="191"/>
      <c r="O9" s="191"/>
      <c r="P9" s="206" t="str">
        <f ca="1">IF(P7&gt;1.15,"YES","NO")</f>
        <v>NO</v>
      </c>
      <c r="Q9" s="191"/>
      <c r="R9" s="201"/>
    </row>
    <row r="10" spans="1:18" x14ac:dyDescent="0.2">
      <c r="A10" s="189"/>
      <c r="B10" s="191"/>
      <c r="C10" s="191"/>
      <c r="D10" s="191"/>
      <c r="E10" s="191"/>
      <c r="F10" s="191"/>
      <c r="G10" s="191"/>
      <c r="H10" s="193"/>
      <c r="I10" s="191"/>
      <c r="J10" s="191"/>
      <c r="K10" s="207" t="str">
        <f ca="1">IF(P9="No","Proceed to Step 5","")</f>
        <v>Proceed to Step 5</v>
      </c>
      <c r="L10" s="207"/>
      <c r="M10" s="207"/>
      <c r="N10" s="191"/>
      <c r="O10" s="191"/>
      <c r="P10" s="191"/>
      <c r="Q10" s="191"/>
      <c r="R10" s="194"/>
    </row>
    <row r="11" spans="1:18" ht="15.75" x14ac:dyDescent="0.25">
      <c r="A11" s="189"/>
      <c r="B11" s="208" t="s">
        <v>16</v>
      </c>
      <c r="C11" s="191"/>
      <c r="D11" s="191"/>
      <c r="E11" s="61"/>
      <c r="F11" s="191"/>
      <c r="G11" s="191"/>
      <c r="H11" s="193"/>
      <c r="I11" s="191"/>
      <c r="J11" s="204" t="s">
        <v>69</v>
      </c>
      <c r="K11" s="204"/>
      <c r="L11" s="204"/>
      <c r="M11" s="204"/>
      <c r="N11" s="204"/>
      <c r="O11" s="204"/>
      <c r="P11" s="62"/>
      <c r="Q11" s="191"/>
      <c r="R11" s="194"/>
    </row>
    <row r="12" spans="1:18" x14ac:dyDescent="0.2">
      <c r="A12" s="189"/>
      <c r="B12" s="191"/>
      <c r="C12" s="191"/>
      <c r="D12" s="191"/>
      <c r="E12" s="61"/>
      <c r="F12" s="191"/>
      <c r="G12" s="191"/>
      <c r="H12" s="193"/>
      <c r="I12" s="191"/>
      <c r="J12" s="200" t="s">
        <v>9</v>
      </c>
      <c r="K12" s="204"/>
      <c r="L12" s="204"/>
      <c r="M12" s="204"/>
      <c r="N12" s="204"/>
      <c r="O12" s="204"/>
      <c r="P12" s="204"/>
      <c r="Q12" s="191"/>
      <c r="R12" s="194"/>
    </row>
    <row r="13" spans="1:18" x14ac:dyDescent="0.2">
      <c r="A13" s="189"/>
      <c r="B13" s="200" t="s">
        <v>36</v>
      </c>
      <c r="C13" s="191"/>
      <c r="D13" s="191"/>
      <c r="E13" s="97">
        <f>'Flex Mod'!$E$13</f>
        <v>1798.6514460425742</v>
      </c>
      <c r="F13" s="191"/>
      <c r="G13" s="191"/>
      <c r="H13" s="193"/>
      <c r="I13" s="191"/>
      <c r="J13" s="191"/>
      <c r="K13" s="191" t="s">
        <v>10</v>
      </c>
      <c r="L13" s="191"/>
      <c r="M13" s="191"/>
      <c r="N13" s="191"/>
      <c r="O13" s="191"/>
      <c r="P13" s="64" t="str">
        <f ca="1">IF(P9="NO","",P5*1.15)</f>
        <v/>
      </c>
      <c r="Q13" s="204"/>
      <c r="R13" s="194"/>
    </row>
    <row r="14" spans="1:18" x14ac:dyDescent="0.2">
      <c r="A14" s="189"/>
      <c r="B14" s="191" t="s">
        <v>0</v>
      </c>
      <c r="C14" s="191"/>
      <c r="D14" s="191"/>
      <c r="E14" s="65">
        <f>'Flex Mod'!$E$14</f>
        <v>300</v>
      </c>
      <c r="F14" s="209" t="s">
        <v>4</v>
      </c>
      <c r="G14" s="191"/>
      <c r="H14" s="193"/>
      <c r="I14" s="191"/>
      <c r="J14" s="191"/>
      <c r="K14" s="191" t="s">
        <v>12</v>
      </c>
      <c r="L14" s="191"/>
      <c r="M14" s="191"/>
      <c r="N14" s="191"/>
      <c r="O14" s="191"/>
      <c r="P14" s="64" t="str">
        <f ca="1">IF(P9="NO","",E27-P13)</f>
        <v/>
      </c>
      <c r="Q14" s="204"/>
      <c r="R14" s="194"/>
    </row>
    <row r="15" spans="1:18" x14ac:dyDescent="0.2">
      <c r="A15" s="189"/>
      <c r="B15" s="191" t="s">
        <v>1</v>
      </c>
      <c r="C15" s="191"/>
      <c r="D15" s="191"/>
      <c r="E15" s="65">
        <f>'Flex Mod'!$E$15</f>
        <v>120</v>
      </c>
      <c r="F15" s="209" t="s">
        <v>4</v>
      </c>
      <c r="G15" s="191"/>
      <c r="H15" s="193"/>
      <c r="I15" s="191"/>
      <c r="J15" s="200" t="s">
        <v>55</v>
      </c>
      <c r="K15" s="191"/>
      <c r="L15" s="191"/>
      <c r="M15" s="191"/>
      <c r="N15" s="191"/>
      <c r="O15" s="191"/>
      <c r="P15" s="67"/>
      <c r="Q15" s="191"/>
      <c r="R15" s="194"/>
    </row>
    <row r="16" spans="1:18" x14ac:dyDescent="0.2">
      <c r="A16" s="189"/>
      <c r="B16" s="191" t="s">
        <v>3</v>
      </c>
      <c r="C16" s="191"/>
      <c r="D16" s="191"/>
      <c r="E16" s="79">
        <f>'Flex Mod'!$E$16</f>
        <v>0</v>
      </c>
      <c r="F16" s="209" t="s">
        <v>4</v>
      </c>
      <c r="G16" s="191"/>
      <c r="H16" s="193"/>
      <c r="I16" s="191"/>
      <c r="J16" s="191"/>
      <c r="K16" s="191" t="s">
        <v>10</v>
      </c>
      <c r="L16" s="191"/>
      <c r="M16" s="191"/>
      <c r="N16" s="191"/>
      <c r="O16" s="191"/>
      <c r="P16" s="210">
        <f ca="1">E27*0.7</f>
        <v>240745.20410945092</v>
      </c>
      <c r="Q16" s="191"/>
      <c r="R16" s="194"/>
    </row>
    <row r="17" spans="1:18" x14ac:dyDescent="0.2">
      <c r="A17" s="189"/>
      <c r="B17" s="192"/>
      <c r="C17" s="191"/>
      <c r="D17" s="191"/>
      <c r="E17" s="81"/>
      <c r="F17" s="211"/>
      <c r="G17" s="191"/>
      <c r="H17" s="193"/>
      <c r="I17" s="191"/>
      <c r="J17" s="191"/>
      <c r="K17" s="191" t="s">
        <v>12</v>
      </c>
      <c r="L17" s="191"/>
      <c r="M17" s="191"/>
      <c r="N17" s="191"/>
      <c r="O17" s="191"/>
      <c r="P17" s="64" t="str">
        <f ca="1">IF(P9="NO","",E27*0.3)</f>
        <v/>
      </c>
      <c r="Q17" s="191"/>
      <c r="R17" s="194"/>
    </row>
    <row r="18" spans="1:18" x14ac:dyDescent="0.2">
      <c r="A18" s="189"/>
      <c r="B18" s="204" t="s">
        <v>17</v>
      </c>
      <c r="C18" s="204"/>
      <c r="D18" s="204"/>
      <c r="E18" s="80">
        <f>SUM(E13:E17)</f>
        <v>2218.6514460425742</v>
      </c>
      <c r="F18" s="209"/>
      <c r="G18" s="191"/>
      <c r="H18" s="193"/>
      <c r="I18" s="191"/>
      <c r="J18" s="212" t="s">
        <v>11</v>
      </c>
      <c r="K18" s="191"/>
      <c r="L18" s="191"/>
      <c r="M18" s="191"/>
      <c r="N18" s="191"/>
      <c r="O18" s="191"/>
      <c r="P18" s="213" t="str">
        <f ca="1">IF(P14&lt;P17,P14,P17)</f>
        <v/>
      </c>
      <c r="Q18" s="191"/>
      <c r="R18" s="194"/>
    </row>
    <row r="19" spans="1:18" x14ac:dyDescent="0.2">
      <c r="A19" s="189"/>
      <c r="B19" s="191"/>
      <c r="C19" s="191"/>
      <c r="D19" s="191"/>
      <c r="E19" s="61"/>
      <c r="F19" s="191"/>
      <c r="G19" s="191"/>
      <c r="H19" s="193"/>
      <c r="I19" s="191"/>
      <c r="J19" s="191"/>
      <c r="K19" s="191"/>
      <c r="L19" s="191"/>
      <c r="M19" s="191"/>
      <c r="N19" s="191"/>
      <c r="O19" s="191"/>
      <c r="P19" s="191"/>
      <c r="Q19" s="191"/>
      <c r="R19" s="194"/>
    </row>
    <row r="20" spans="1:18" x14ac:dyDescent="0.2">
      <c r="A20" s="189"/>
      <c r="B20" s="204" t="s">
        <v>15</v>
      </c>
      <c r="C20" s="191"/>
      <c r="D20" s="191"/>
      <c r="E20" s="214">
        <f ca="1">'Flex Mod'!$E$20</f>
        <v>249</v>
      </c>
      <c r="F20" s="192" t="s">
        <v>5</v>
      </c>
      <c r="G20" s="191"/>
      <c r="H20" s="193"/>
      <c r="I20" s="191"/>
      <c r="J20" s="215" t="s">
        <v>42</v>
      </c>
      <c r="K20" s="191"/>
      <c r="L20" s="191"/>
      <c r="M20" s="191"/>
      <c r="N20" s="191"/>
      <c r="O20" s="191"/>
      <c r="P20" s="69">
        <f ca="1">IF(P9="YES",E27-P18,E27)</f>
        <v>343921.7201563585</v>
      </c>
      <c r="Q20" s="191"/>
      <c r="R20" s="194"/>
    </row>
    <row r="21" spans="1:18" x14ac:dyDescent="0.2">
      <c r="A21" s="189"/>
      <c r="B21" s="204"/>
      <c r="C21" s="191"/>
      <c r="D21" s="191"/>
      <c r="E21" s="216"/>
      <c r="F21" s="192"/>
      <c r="G21" s="191"/>
      <c r="H21" s="193"/>
      <c r="I21" s="191"/>
      <c r="J21" s="191"/>
      <c r="K21" s="191"/>
      <c r="L21" s="191"/>
      <c r="M21" s="191"/>
      <c r="N21" s="191"/>
      <c r="O21" s="191"/>
      <c r="P21" s="191"/>
      <c r="Q21" s="191"/>
      <c r="R21" s="194"/>
    </row>
    <row r="22" spans="1:18" x14ac:dyDescent="0.2">
      <c r="A22" s="189"/>
      <c r="B22" s="191"/>
      <c r="C22" s="191"/>
      <c r="D22" s="191"/>
      <c r="E22" s="191"/>
      <c r="F22" s="191"/>
      <c r="G22" s="191"/>
      <c r="H22" s="193"/>
      <c r="I22" s="250" t="s">
        <v>67</v>
      </c>
      <c r="J22" s="251"/>
      <c r="K22" s="251"/>
      <c r="L22" s="251"/>
      <c r="M22" s="251"/>
      <c r="N22" s="251"/>
      <c r="O22" s="251"/>
      <c r="P22" s="251"/>
      <c r="Q22" s="251"/>
      <c r="R22" s="252"/>
    </row>
    <row r="23" spans="1:18" x14ac:dyDescent="0.2">
      <c r="A23" s="250" t="s">
        <v>43</v>
      </c>
      <c r="B23" s="251"/>
      <c r="C23" s="251"/>
      <c r="D23" s="251"/>
      <c r="E23" s="251"/>
      <c r="F23" s="251"/>
      <c r="G23" s="252"/>
      <c r="H23" s="193"/>
      <c r="I23" s="191"/>
      <c r="J23" s="72"/>
      <c r="K23" s="191"/>
      <c r="L23" s="191"/>
      <c r="M23" s="191"/>
      <c r="N23" s="191"/>
      <c r="O23" s="191"/>
      <c r="P23" s="191"/>
      <c r="Q23" s="191"/>
      <c r="R23" s="194"/>
    </row>
    <row r="24" spans="1:18" x14ac:dyDescent="0.2">
      <c r="A24" s="189"/>
      <c r="B24" s="207"/>
      <c r="C24" s="191"/>
      <c r="D24" s="191"/>
      <c r="E24" s="61"/>
      <c r="F24" s="191"/>
      <c r="G24" s="191"/>
      <c r="H24" s="193"/>
      <c r="I24" s="191"/>
      <c r="J24" s="200" t="s">
        <v>20</v>
      </c>
      <c r="K24" s="191"/>
      <c r="L24" s="191"/>
      <c r="M24" s="191"/>
      <c r="N24" s="191"/>
      <c r="O24" s="191"/>
      <c r="P24" s="217">
        <f ca="1">PMT(E35/12,E41,-P20)</f>
        <v>1491.3140504218841</v>
      </c>
      <c r="Q24" s="191"/>
      <c r="R24" s="194"/>
    </row>
    <row r="25" spans="1:18" x14ac:dyDescent="0.2">
      <c r="A25" s="189"/>
      <c r="B25" s="87" t="s">
        <v>62</v>
      </c>
      <c r="C25" s="49"/>
      <c r="D25" s="49"/>
      <c r="E25" s="65">
        <f>Inputs!N27</f>
        <v>272904.36671031592</v>
      </c>
      <c r="F25" s="191"/>
      <c r="G25" s="191"/>
      <c r="H25" s="193"/>
      <c r="I25" s="191"/>
      <c r="J25" s="204" t="s">
        <v>21</v>
      </c>
      <c r="K25" s="191"/>
      <c r="L25" s="191"/>
      <c r="M25" s="191"/>
      <c r="N25" s="191"/>
      <c r="O25" s="191"/>
      <c r="P25" s="217">
        <f ca="1">P24+E14+E15+E16+E17</f>
        <v>1911.3140504218841</v>
      </c>
      <c r="Q25" s="191"/>
      <c r="R25" s="194"/>
    </row>
    <row r="26" spans="1:18" x14ac:dyDescent="0.2">
      <c r="A26" s="189"/>
      <c r="B26" s="87" t="str">
        <f>IF(Inputs!N15&gt;0,"Arrears and Forbearance","Total Eligible Arrears")</f>
        <v>Total Eligible Arrears</v>
      </c>
      <c r="C26" s="49"/>
      <c r="D26" s="49"/>
      <c r="E26" s="65">
        <f ca="1">Inputs!$N$34</f>
        <v>71017.353446042573</v>
      </c>
      <c r="F26" s="218" t="str">
        <f>IF(infotype=3,"","+")</f>
        <v>+</v>
      </c>
      <c r="G26" s="191"/>
      <c r="H26" s="193"/>
      <c r="I26" s="191"/>
      <c r="J26" s="204"/>
      <c r="K26" s="191"/>
      <c r="L26" s="191"/>
      <c r="M26" s="191"/>
      <c r="N26" s="191"/>
      <c r="O26" s="191"/>
      <c r="P26" s="166"/>
      <c r="Q26" s="191"/>
      <c r="R26" s="194"/>
    </row>
    <row r="27" spans="1:18" x14ac:dyDescent="0.2">
      <c r="A27" s="189"/>
      <c r="B27" s="55" t="s">
        <v>34</v>
      </c>
      <c r="C27" s="55"/>
      <c r="D27" s="55"/>
      <c r="E27" s="69">
        <f ca="1">SUM(E25:E26)</f>
        <v>343921.7201563585</v>
      </c>
      <c r="F27" s="209"/>
      <c r="G27" s="191"/>
      <c r="H27" s="193"/>
      <c r="I27" s="191"/>
      <c r="J27" s="200" t="s">
        <v>104</v>
      </c>
      <c r="K27" s="191"/>
      <c r="L27" s="191"/>
      <c r="M27" s="191"/>
      <c r="N27" s="191"/>
      <c r="O27" s="191"/>
      <c r="P27" s="191"/>
      <c r="Q27" s="205"/>
      <c r="R27" s="194"/>
    </row>
    <row r="28" spans="1:18" x14ac:dyDescent="0.2">
      <c r="A28" s="189"/>
      <c r="B28" s="191"/>
      <c r="C28" s="191"/>
      <c r="D28" s="191"/>
      <c r="E28" s="61"/>
      <c r="F28" s="191"/>
      <c r="G28" s="191"/>
      <c r="H28" s="193"/>
      <c r="I28" s="191"/>
      <c r="J28" s="191"/>
      <c r="K28" s="191" t="s">
        <v>13</v>
      </c>
      <c r="L28" s="191"/>
      <c r="M28" s="191"/>
      <c r="N28" s="191"/>
      <c r="O28" s="191"/>
      <c r="P28" s="202">
        <f ca="1">IF(Inputs!F10="YES",(Inputs!N43)/GMI,((P25+Inputs!$N$42)/GMI))</f>
        <v>0.45779977255613991</v>
      </c>
      <c r="Q28" s="191"/>
      <c r="R28" s="194"/>
    </row>
    <row r="29" spans="1:18" x14ac:dyDescent="0.2">
      <c r="A29" s="189"/>
      <c r="B29" s="191"/>
      <c r="C29" s="191"/>
      <c r="D29" s="191"/>
      <c r="E29" s="61"/>
      <c r="F29" s="191"/>
      <c r="G29" s="191"/>
      <c r="H29" s="193"/>
      <c r="I29" s="191"/>
      <c r="J29" s="191"/>
      <c r="K29" s="191" t="s">
        <v>14</v>
      </c>
      <c r="L29" s="191"/>
      <c r="M29" s="191"/>
      <c r="N29" s="191"/>
      <c r="O29" s="191"/>
      <c r="P29" s="206" t="str">
        <f ca="1">IF(OR(P28&gt;0.55,P28&lt;0.1),"NO","YES")</f>
        <v>YES</v>
      </c>
      <c r="Q29" s="191"/>
      <c r="R29" s="194"/>
    </row>
    <row r="30" spans="1:18" x14ac:dyDescent="0.2">
      <c r="A30" s="250" t="str">
        <f ca="1">IF(AND(Owner&lt;3,UPB&lt;0.8*Value),"SET FIXED RATE","REDUCE INTEREST RATE")</f>
        <v>REDUCE INTEREST RATE</v>
      </c>
      <c r="B30" s="251"/>
      <c r="C30" s="251"/>
      <c r="D30" s="251"/>
      <c r="E30" s="251"/>
      <c r="F30" s="251"/>
      <c r="G30" s="252"/>
      <c r="H30" s="193"/>
      <c r="I30" s="191"/>
      <c r="J30" s="191"/>
      <c r="K30" s="191"/>
      <c r="L30" s="191"/>
      <c r="M30" s="191"/>
      <c r="N30" s="191"/>
      <c r="O30" s="191"/>
      <c r="P30" s="219"/>
      <c r="Q30" s="191"/>
      <c r="R30" s="194"/>
    </row>
    <row r="31" spans="1:18" x14ac:dyDescent="0.2">
      <c r="A31" s="189"/>
      <c r="B31" s="191"/>
      <c r="C31" s="191"/>
      <c r="D31" s="191"/>
      <c r="E31" s="61"/>
      <c r="F31" s="191"/>
      <c r="G31" s="191"/>
      <c r="H31" s="193"/>
      <c r="I31" s="191"/>
      <c r="J31" s="200" t="s">
        <v>105</v>
      </c>
      <c r="K31" s="191"/>
      <c r="L31" s="191"/>
      <c r="M31" s="191"/>
      <c r="N31" s="191"/>
      <c r="O31" s="191"/>
      <c r="P31" s="192"/>
      <c r="Q31" s="221"/>
      <c r="R31" s="194"/>
    </row>
    <row r="32" spans="1:18" x14ac:dyDescent="0.2">
      <c r="A32" s="189"/>
      <c r="B32" s="14" t="str">
        <f ca="1">IF(AND(MTMLTV&lt;0.8,OR(RateType="Fixed Rate",Inputs!N11=Inputs!N13)),"Keep Current Rate:","Lesser of:")</f>
        <v>Lesser of:</v>
      </c>
      <c r="C32" s="1"/>
      <c r="D32" s="1"/>
      <c r="E32" s="1"/>
      <c r="F32" s="204"/>
      <c r="G32" s="200"/>
      <c r="H32" s="220"/>
      <c r="I32" s="191"/>
      <c r="J32" s="191"/>
      <c r="K32" s="200" t="s">
        <v>41</v>
      </c>
      <c r="L32" s="200"/>
      <c r="M32" s="200"/>
      <c r="N32" s="191"/>
      <c r="O32" s="191"/>
      <c r="P32" s="202">
        <f ca="1">(E13-P24)/E13</f>
        <v>0.17087101355679529</v>
      </c>
      <c r="Q32" s="221"/>
      <c r="R32" s="194"/>
    </row>
    <row r="33" spans="1:18" x14ac:dyDescent="0.2">
      <c r="A33" s="189"/>
      <c r="B33" s="115" t="str">
        <f ca="1">IF(AND(MTMLTV&lt;0.8,OR(RateType="Fixed Rate",Inputs!N11=Inputs!N13)),"",IF(Owner=1,"Fannie Mae Mod Rate",IF(Owner=2,"Freddie Standard Mod Rate",0)))</f>
        <v>Fannie Mae Mod Rate</v>
      </c>
      <c r="C33" s="15"/>
      <c r="D33" s="1"/>
      <c r="E33" s="161">
        <f>Inputs!N6</f>
        <v>4.2500000000000003E-2</v>
      </c>
      <c r="F33" s="204"/>
      <c r="G33" s="200"/>
      <c r="H33" s="220"/>
      <c r="I33" s="191"/>
      <c r="J33" s="191"/>
      <c r="K33" s="191" t="s">
        <v>14</v>
      </c>
      <c r="L33" s="191"/>
      <c r="M33" s="191"/>
      <c r="N33" s="191"/>
      <c r="O33" s="191"/>
      <c r="P33" s="206" t="str">
        <f ca="1">IF(P32&gt;=0,"YES","NO")</f>
        <v>YES</v>
      </c>
      <c r="Q33" s="192"/>
      <c r="R33" s="194"/>
    </row>
    <row r="34" spans="1:18" x14ac:dyDescent="0.2">
      <c r="A34" s="189"/>
      <c r="B34" s="84" t="s">
        <v>102</v>
      </c>
      <c r="C34" s="2"/>
      <c r="D34" s="2"/>
      <c r="E34" s="162">
        <f>Inputs!N11</f>
        <v>0.06</v>
      </c>
      <c r="F34" s="204"/>
      <c r="G34" s="200"/>
      <c r="H34" s="220"/>
      <c r="I34" s="191"/>
      <c r="J34" s="191"/>
      <c r="K34" s="191"/>
      <c r="L34" s="191"/>
      <c r="M34" s="191"/>
      <c r="N34" s="191"/>
      <c r="O34" s="191"/>
      <c r="P34" s="219"/>
      <c r="Q34" s="192"/>
      <c r="R34" s="194"/>
    </row>
    <row r="35" spans="1:18" ht="12.75" customHeight="1" x14ac:dyDescent="0.2">
      <c r="A35" s="189"/>
      <c r="B35" s="55" t="s">
        <v>84</v>
      </c>
      <c r="C35" s="59"/>
      <c r="D35" s="49"/>
      <c r="E35" s="163">
        <f ca="1">VLOOKUP(RateType,RateTable,3,FALSE)</f>
        <v>4.2500000000000003E-2</v>
      </c>
      <c r="F35" s="204"/>
      <c r="G35" s="200"/>
      <c r="H35" s="220"/>
      <c r="I35" s="253" t="str">
        <f ca="1">IF(PIREDUCTION="YES",IF(P29="YES","Modification Results","Streamline Modification Only"),"Borrower Ineligible")</f>
        <v>Modification Results</v>
      </c>
      <c r="J35" s="254"/>
      <c r="K35" s="254"/>
      <c r="L35" s="254"/>
      <c r="M35" s="254"/>
      <c r="N35" s="254"/>
      <c r="O35" s="254"/>
      <c r="P35" s="254"/>
      <c r="Q35" s="254"/>
      <c r="R35" s="255"/>
    </row>
    <row r="36" spans="1:18" x14ac:dyDescent="0.2">
      <c r="A36" s="189"/>
      <c r="B36" s="191"/>
      <c r="C36" s="191"/>
      <c r="D36" s="191"/>
      <c r="E36" s="191"/>
      <c r="F36" s="204"/>
      <c r="G36" s="191"/>
      <c r="H36" s="220"/>
      <c r="I36" s="191"/>
      <c r="J36" s="207" t="str">
        <f>IF(P35="Maybe","Client's eligibility depends on servicer specific requirements","")</f>
        <v/>
      </c>
      <c r="K36" s="191"/>
      <c r="L36" s="191"/>
      <c r="M36" s="191"/>
      <c r="N36" s="191"/>
      <c r="O36" s="191"/>
      <c r="P36" s="191"/>
      <c r="Q36" s="191"/>
      <c r="R36" s="194"/>
    </row>
    <row r="37" spans="1:18" x14ac:dyDescent="0.2">
      <c r="A37" s="189"/>
      <c r="B37" s="204"/>
      <c r="C37" s="204"/>
      <c r="D37" s="204"/>
      <c r="E37" s="74"/>
      <c r="F37" s="204"/>
      <c r="G37" s="191"/>
      <c r="H37" s="193"/>
      <c r="I37" s="49"/>
      <c r="J37" s="87" t="s">
        <v>98</v>
      </c>
      <c r="K37" s="49"/>
      <c r="L37" s="49"/>
      <c r="M37" s="49"/>
      <c r="N37" s="49"/>
      <c r="O37" s="49"/>
      <c r="P37" s="167">
        <f ca="1">-PMT(E35/12,480,P39-P40)</f>
        <v>1491.3140504218841</v>
      </c>
      <c r="Q37" s="50"/>
      <c r="R37" s="113"/>
    </row>
    <row r="38" spans="1:18" x14ac:dyDescent="0.2">
      <c r="A38" s="189"/>
      <c r="B38" s="204"/>
      <c r="C38" s="191"/>
      <c r="D38" s="191"/>
      <c r="E38" s="191"/>
      <c r="F38" s="191"/>
      <c r="G38" s="191"/>
      <c r="H38" s="193"/>
      <c r="I38" s="49"/>
      <c r="J38" s="87" t="s">
        <v>99</v>
      </c>
      <c r="K38" s="49"/>
      <c r="L38" s="49"/>
      <c r="M38" s="49"/>
      <c r="N38" s="49"/>
      <c r="O38" s="49"/>
      <c r="P38" s="168">
        <f ca="1">SUM(P37,E14:E16)</f>
        <v>1911.3140504218841</v>
      </c>
      <c r="Q38" s="50"/>
      <c r="R38" s="113"/>
    </row>
    <row r="39" spans="1:18" x14ac:dyDescent="0.2">
      <c r="A39" s="250" t="s">
        <v>63</v>
      </c>
      <c r="B39" s="251"/>
      <c r="C39" s="251"/>
      <c r="D39" s="251"/>
      <c r="E39" s="251"/>
      <c r="F39" s="251"/>
      <c r="G39" s="252"/>
      <c r="H39" s="193"/>
      <c r="I39" s="49"/>
      <c r="J39" s="165" t="s">
        <v>97</v>
      </c>
      <c r="K39" s="49"/>
      <c r="L39" s="49"/>
      <c r="M39" s="49"/>
      <c r="N39" s="49"/>
      <c r="O39" s="49"/>
      <c r="P39" s="167">
        <f ca="1">E27</f>
        <v>343921.7201563585</v>
      </c>
      <c r="Q39" s="50"/>
      <c r="R39" s="113"/>
    </row>
    <row r="40" spans="1:18" ht="12.75" customHeight="1" x14ac:dyDescent="0.25">
      <c r="A40" s="189"/>
      <c r="B40" s="191"/>
      <c r="C40" s="191"/>
      <c r="D40" s="191"/>
      <c r="E40" s="75"/>
      <c r="F40" s="191"/>
      <c r="G40" s="191"/>
      <c r="H40" s="193"/>
      <c r="I40" s="49"/>
      <c r="J40" s="165" t="s">
        <v>70</v>
      </c>
      <c r="K40" s="49"/>
      <c r="L40" s="49"/>
      <c r="M40" s="49"/>
      <c r="N40" s="49"/>
      <c r="O40" s="49"/>
      <c r="P40" s="169">
        <f ca="1">P39-P20</f>
        <v>0</v>
      </c>
      <c r="Q40" s="111"/>
      <c r="R40" s="113"/>
    </row>
    <row r="41" spans="1:18" ht="12.75" customHeight="1" x14ac:dyDescent="0.2">
      <c r="A41" s="189"/>
      <c r="B41" s="204" t="s">
        <v>7</v>
      </c>
      <c r="C41" s="191"/>
      <c r="D41" s="191"/>
      <c r="E41" s="222">
        <v>480</v>
      </c>
      <c r="F41" s="200" t="s">
        <v>44</v>
      </c>
      <c r="G41" s="191"/>
      <c r="H41" s="193"/>
      <c r="I41" s="49"/>
      <c r="J41" s="87" t="s">
        <v>101</v>
      </c>
      <c r="K41" s="49"/>
      <c r="L41" s="49"/>
      <c r="M41" s="49"/>
      <c r="N41" s="49"/>
      <c r="O41" s="49"/>
      <c r="P41" s="170">
        <f ca="1">E35</f>
        <v>4.2500000000000003E-2</v>
      </c>
      <c r="Q41" s="50"/>
      <c r="R41" s="113"/>
    </row>
    <row r="42" spans="1:18" x14ac:dyDescent="0.2">
      <c r="A42" s="189"/>
      <c r="B42" s="191"/>
      <c r="C42" s="191"/>
      <c r="D42" s="191"/>
      <c r="E42" s="191"/>
      <c r="F42" s="191"/>
      <c r="G42" s="191"/>
      <c r="H42" s="193"/>
      <c r="I42" s="49"/>
      <c r="J42" s="87" t="s">
        <v>100</v>
      </c>
      <c r="K42" s="49"/>
      <c r="L42" s="49"/>
      <c r="M42" s="49"/>
      <c r="N42" s="49"/>
      <c r="O42" s="49"/>
      <c r="P42" s="171">
        <v>480</v>
      </c>
      <c r="Q42" s="49"/>
      <c r="R42" s="113"/>
    </row>
    <row r="43" spans="1:18" x14ac:dyDescent="0.2">
      <c r="A43" s="223" t="str">
        <f>VLOOKUP(Owner,Current,3)</f>
        <v>Current as of FNMA Servicing Announcement 2015-12</v>
      </c>
      <c r="B43" s="224"/>
      <c r="C43" s="224"/>
      <c r="D43" s="224"/>
      <c r="E43" s="224"/>
      <c r="F43" s="224"/>
      <c r="G43" s="224"/>
      <c r="H43" s="193"/>
      <c r="I43" s="224"/>
      <c r="J43" s="224"/>
      <c r="K43" s="224"/>
      <c r="L43" s="224"/>
      <c r="M43" s="224"/>
      <c r="N43" s="224"/>
      <c r="O43" s="224"/>
      <c r="P43" s="224"/>
      <c r="Q43" s="225" t="s">
        <v>59</v>
      </c>
      <c r="R43" s="226"/>
    </row>
  </sheetData>
  <sheetProtection sheet="1" objects="1" scenarios="1"/>
  <mergeCells count="8">
    <mergeCell ref="A39:G39"/>
    <mergeCell ref="I35:R35"/>
    <mergeCell ref="A1:R1"/>
    <mergeCell ref="I3:R3"/>
    <mergeCell ref="D4:E4"/>
    <mergeCell ref="I22:R22"/>
    <mergeCell ref="A23:G23"/>
    <mergeCell ref="A30:G30"/>
  </mergeCells>
  <conditionalFormatting sqref="D4:E6">
    <cfRule type="expression" dxfId="4" priority="10">
      <formula>IF($B$2="RENTAL PROPERTIES AREN'T TIER 1 ELIGIBLE",1,0)</formula>
    </cfRule>
  </conditionalFormatting>
  <conditionalFormatting sqref="A28:H31 A25:A27 F25:H27 A36:H43 A32:A35 F32:H35 I1:R2 J21:R34 I43:R43 J36:R36 I21:I36 A1:H24">
    <cfRule type="expression" dxfId="3" priority="14" stopIfTrue="1">
      <formula>IF($Q$43="MFY Legal Services Inc.'s Proprietary Waterfall Worksheet",0,1)</formula>
    </cfRule>
  </conditionalFormatting>
  <conditionalFormatting sqref="J11:P20">
    <cfRule type="expression" dxfId="0" priority="2">
      <formula>IF($P$9="NO",1,0)</formula>
    </cfRule>
  </conditionalFormatting>
  <conditionalFormatting sqref="J37:P42">
    <cfRule type="expression" dxfId="2" priority="1">
      <formula>IF($P$33="NO",1,0)</formula>
    </cfRule>
  </conditionalFormatting>
  <pageMargins left="0.75" right="0.75" top="1" bottom="1" header="0.5" footer="0.5"/>
  <pageSetup scale="82" orientation="landscape" r:id="rId1"/>
  <headerFooter alignWithMargins="0">
    <oddHeader>&amp;L&amp;14&amp;F&amp;10
Run on: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814D45F5-F8BD-49C7-B4F2-3D94A117C8C2}">
            <xm:f>IF(AND(MTMLTV&lt;0.8,OR(RateType="Fixed Rate",Inputs!N11=Inputs!N13)),1,0)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E33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6" sqref="A6:C7"/>
    </sheetView>
  </sheetViews>
  <sheetFormatPr defaultRowHeight="12.75" x14ac:dyDescent="0.2"/>
  <cols>
    <col min="4" max="4" width="16" customWidth="1"/>
    <col min="5" max="5" width="17.85546875" customWidth="1"/>
  </cols>
  <sheetData>
    <row r="1" spans="1:6" x14ac:dyDescent="0.2">
      <c r="A1" t="s">
        <v>77</v>
      </c>
      <c r="B1">
        <f>IF(Inputs!N5="Fannie Mae",1,2)</f>
        <v>1</v>
      </c>
    </row>
    <row r="2" spans="1:6" x14ac:dyDescent="0.2">
      <c r="A2" t="s">
        <v>79</v>
      </c>
      <c r="B2">
        <f>IF(Payoff="Only Default Date",1,IF(Payoff="UPB at Default",2,IF(Payoff="Capitalized UPB",3)))</f>
        <v>1</v>
      </c>
      <c r="D2" t="s">
        <v>83</v>
      </c>
      <c r="E2" t="s">
        <v>81</v>
      </c>
      <c r="F2">
        <f ca="1">IF(OR(Inputs!N6&gt;Inputs!N13,AND(Inputs!N11=Inputs!N13,MTMLTV&lt;0.8)),Inputs!N13,Inputs!N6)</f>
        <v>4.2500000000000003E-2</v>
      </c>
    </row>
    <row r="3" spans="1:6" x14ac:dyDescent="0.2">
      <c r="A3" s="82" t="s">
        <v>85</v>
      </c>
      <c r="B3">
        <f ca="1">UPB/Value</f>
        <v>0.98263348616102431</v>
      </c>
      <c r="D3" t="s">
        <v>65</v>
      </c>
      <c r="E3" t="str">
        <f>""</f>
        <v/>
      </c>
      <c r="F3">
        <f ca="1">IF(AND(MTMLTV&gt;0.8,Inputs!N11&gt;Inputs!N6),Inputs!N6,Inputs!N11)</f>
        <v>4.2500000000000003E-2</v>
      </c>
    </row>
    <row r="4" spans="1:6" x14ac:dyDescent="0.2">
      <c r="D4" t="s">
        <v>80</v>
      </c>
      <c r="E4" t="s">
        <v>82</v>
      </c>
      <c r="F4">
        <f ca="1">IF(OR(Inputs!N6&gt;Inputs!N13,AND(Inputs!N11=Inputs!N13,MTMLTV&lt;0.8)),Inputs!N13,Inputs!N6)</f>
        <v>4.2500000000000003E-2</v>
      </c>
    </row>
    <row r="6" spans="1:6" x14ac:dyDescent="0.2">
      <c r="A6" s="5">
        <v>1</v>
      </c>
      <c r="B6" s="158" t="s">
        <v>106</v>
      </c>
      <c r="C6" s="158" t="s">
        <v>72</v>
      </c>
    </row>
    <row r="7" spans="1:6" x14ac:dyDescent="0.2">
      <c r="A7" s="7">
        <v>2</v>
      </c>
      <c r="B7" s="84" t="s">
        <v>107</v>
      </c>
      <c r="C7" s="8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Inputs</vt:lpstr>
      <vt:lpstr>Flex Mod</vt:lpstr>
      <vt:lpstr>Standard</vt:lpstr>
      <vt:lpstr>Calculations</vt:lpstr>
      <vt:lpstr>Current</vt:lpstr>
      <vt:lpstr>DTI</vt:lpstr>
      <vt:lpstr>GMI</vt:lpstr>
      <vt:lpstr>infotype</vt:lpstr>
      <vt:lpstr>MaxDTI</vt:lpstr>
      <vt:lpstr>MinDTI</vt:lpstr>
      <vt:lpstr>MTMLTV</vt:lpstr>
      <vt:lpstr>Owner</vt:lpstr>
      <vt:lpstr>Payoff</vt:lpstr>
      <vt:lpstr>Standard!PIREDUCTION</vt:lpstr>
      <vt:lpstr>PIREDUCTION</vt:lpstr>
      <vt:lpstr>RateTable</vt:lpstr>
      <vt:lpstr>RateType</vt:lpstr>
      <vt:lpstr>Rental</vt:lpstr>
      <vt:lpstr>T2DEBT</vt:lpstr>
      <vt:lpstr>Standard!T2PITIA</vt:lpstr>
      <vt:lpstr>Standard!TierTwo</vt:lpstr>
      <vt:lpstr>TierTwo</vt:lpstr>
      <vt:lpstr>TODAY</vt:lpstr>
      <vt:lpstr>TYPE</vt:lpstr>
      <vt:lpstr>UPB</vt:lpstr>
      <vt:lpstr>Value</vt:lpstr>
    </vt:vector>
  </TitlesOfParts>
  <Company>Eastside Community Development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MFY Legal Services</dc:creator>
  <cp:lastModifiedBy>Joseph Rebella</cp:lastModifiedBy>
  <cp:lastPrinted>2017-03-20T16:15:39Z</cp:lastPrinted>
  <dcterms:created xsi:type="dcterms:W3CDTF">2010-03-17T18:01:29Z</dcterms:created>
  <dcterms:modified xsi:type="dcterms:W3CDTF">2017-03-23T20:24:13Z</dcterms:modified>
</cp:coreProperties>
</file>