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fylegal.sharepoint.com/sites/SDrive-Shared/Shared Documents/General/MFJ Wide Information/Projects/Projects/FPP/Waterfall Worksheet/"/>
    </mc:Choice>
  </mc:AlternateContent>
  <xr:revisionPtr revIDLastSave="0" documentId="8_{05918B98-7688-441B-86D1-8937568BE7E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puts" sheetId="8" r:id="rId1"/>
    <sheet name="Flex" sheetId="14" r:id="rId2"/>
    <sheet name="COVID Flex" sheetId="4" r:id="rId3"/>
    <sheet name="Sheet1" sheetId="15" state="hidden" r:id="rId4"/>
    <sheet name="Standard" sheetId="13" state="hidden" r:id="rId5"/>
    <sheet name="Calculations" sheetId="12" state="hidden" r:id="rId6"/>
  </sheets>
  <externalReferences>
    <externalReference r:id="rId7"/>
    <externalReference r:id="rId8"/>
  </externalReferences>
  <definedNames>
    <definedName name="AffNeg">#REF!</definedName>
    <definedName name="Am2nd">#REF!</definedName>
    <definedName name="amstep">#REF!</definedName>
    <definedName name="AmSteps">#REF!</definedName>
    <definedName name="Current">Calculations!$A$6:$C$7</definedName>
    <definedName name="DTI">Standard!$P$28</definedName>
    <definedName name="DTI_Range">#REF!</definedName>
    <definedName name="fpdate">#REF!</definedName>
    <definedName name="GMI">Inputs!$F$39</definedName>
    <definedName name="infotype">Calculations!$B$2</definedName>
    <definedName name="infotype2">#REF!</definedName>
    <definedName name="IntOnly2nd">#REF!</definedName>
    <definedName name="LoanType">#REF!</definedName>
    <definedName name="MaxDTI" localSheetId="1">Flex!$N$29</definedName>
    <definedName name="MaxDTI" localSheetId="4">Standard!#REF!</definedName>
    <definedName name="MaxDTI">'COVID Flex'!$N$28</definedName>
    <definedName name="MinDTI" localSheetId="1">Flex!$L$29</definedName>
    <definedName name="MinDTI" localSheetId="4">Standard!#REF!</definedName>
    <definedName name="MinDTI">'COVID Flex'!$L$28</definedName>
    <definedName name="Mods">#REF!</definedName>
    <definedName name="MTMLTV">Calculations!$B$3</definedName>
    <definedName name="NonAM">#REF!</definedName>
    <definedName name="nonamsteps">#REF!</definedName>
    <definedName name="nper" localSheetId="0">Inputs!term*12</definedName>
    <definedName name="nper" localSheetId="4">term*12</definedName>
    <definedName name="nper">term*12</definedName>
    <definedName name="numsteps">#REF!</definedName>
    <definedName name="Numsteps2">#REF!</definedName>
    <definedName name="Owner">Calculations!$B$1</definedName>
    <definedName name="Payoff">Inputs!$N$22</definedName>
    <definedName name="Payoff2">#REF!</definedName>
    <definedName name="PIFAIL">#REF!</definedName>
    <definedName name="PIREDUCTION" localSheetId="1">Flex!$P$36</definedName>
    <definedName name="PIREDUCTION" localSheetId="4">Standard!$P$33</definedName>
    <definedName name="PIREDUCTION">'COVID Flex'!$P$35</definedName>
    <definedName name="PMMS">#REF!</definedName>
    <definedName name="PMUPB">#REF!</definedName>
    <definedName name="rangeunknown">#REF!</definedName>
    <definedName name="RateTable">Calculations!$D$2:$F$4</definedName>
    <definedName name="RateType">Inputs!$N$13</definedName>
    <definedName name="Rental">Inputs!#REF!</definedName>
    <definedName name="Seconds" localSheetId="4">'[1]Data Validation'!$I$15:$L$32</definedName>
    <definedName name="Seconds">#REF!</definedName>
    <definedName name="SecondServicer" localSheetId="4">'[1]2MP'!$E$17</definedName>
    <definedName name="SecondServicer">#REF!</definedName>
    <definedName name="Servicer" localSheetId="4">[1]Inputs!$N$6</definedName>
    <definedName name="Servicer">Inputs!#REF!</definedName>
    <definedName name="Servicer_2MP">#REF!</definedName>
    <definedName name="Servicer_List">#REF!</definedName>
    <definedName name="sline">#REF!</definedName>
    <definedName name="small">#REF!</definedName>
    <definedName name="T2DEBT">Inputs!#REF!</definedName>
    <definedName name="T2PITIA" localSheetId="1">Flex!#REF!</definedName>
    <definedName name="T2PITIA" localSheetId="4">Standard!$P$25</definedName>
    <definedName name="T2PITIA">'COVID Flex'!#REF!</definedName>
    <definedName name="term" localSheetId="0">[2]Inputs!$D$7</definedName>
    <definedName name="term">#REF!</definedName>
    <definedName name="Tier2_Outcome">#REF!</definedName>
    <definedName name="TierOne">#REF!</definedName>
    <definedName name="TierTwo" localSheetId="1">Flex!$P$40</definedName>
    <definedName name="TierTwo" localSheetId="4">Standard!$P$35</definedName>
    <definedName name="TierTwo">'COVID Flex'!$P$39</definedName>
    <definedName name="TODAY">Inputs!$N$26</definedName>
    <definedName name="TYPE">Inputs!$N$5</definedName>
    <definedName name="UPB" localSheetId="1">Flex!$E$27</definedName>
    <definedName name="UPB">'COVID Flex'!$E$27</definedName>
    <definedName name="Value">Inputs!$N$7</definedName>
  </definedNames>
  <calcPr calcId="191028"/>
  <customWorkbookViews>
    <customWorkbookView name="Custom" guid="{0367687A-2E80-4414-9E57-D64905950517}" includePrintSettings="0" includeHiddenRowCol="0" maximized="1" xWindow="1" yWindow="1" windowWidth="1676" windowHeight="829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8" l="1"/>
  <c r="P5" i="4" l="1"/>
  <c r="P5" i="14"/>
  <c r="E34" i="14"/>
  <c r="E33" i="14"/>
  <c r="B26" i="14"/>
  <c r="E16" i="14"/>
  <c r="E13" i="14"/>
  <c r="B2" i="14"/>
  <c r="E34" i="13"/>
  <c r="P5" i="13"/>
  <c r="E33" i="13"/>
  <c r="B26" i="13"/>
  <c r="B2" i="13"/>
  <c r="J36" i="13"/>
  <c r="E3" i="12"/>
  <c r="K14" i="8" s="1"/>
  <c r="B34" i="4" s="1"/>
  <c r="E34" i="4"/>
  <c r="E33" i="4"/>
  <c r="B2" i="12"/>
  <c r="K35" i="8" s="1"/>
  <c r="B1" i="12"/>
  <c r="B26" i="4"/>
  <c r="E16" i="4"/>
  <c r="E16" i="13" s="1"/>
  <c r="E13" i="4"/>
  <c r="E13" i="13" s="1"/>
  <c r="N26" i="8"/>
  <c r="E20" i="4" s="1"/>
  <c r="E20" i="13" s="1"/>
  <c r="K17" i="8"/>
  <c r="F32" i="8"/>
  <c r="F13" i="8"/>
  <c r="B30" i="8"/>
  <c r="B11" i="8"/>
  <c r="F35" i="8"/>
  <c r="B2" i="4"/>
  <c r="B2" i="8"/>
  <c r="F17" i="8"/>
  <c r="F20" i="8"/>
  <c r="F22" i="8"/>
  <c r="F24" i="8" s="1"/>
  <c r="F26" i="8" l="1"/>
  <c r="E14" i="14"/>
  <c r="E35" i="4"/>
  <c r="E14" i="4"/>
  <c r="E14" i="13" s="1"/>
  <c r="E15" i="4"/>
  <c r="E15" i="13" s="1"/>
  <c r="E15" i="14"/>
  <c r="B33" i="4"/>
  <c r="K6" i="8"/>
  <c r="K32" i="8"/>
  <c r="K24" i="8"/>
  <c r="K23" i="8"/>
  <c r="N28" i="8"/>
  <c r="E25" i="14" s="1"/>
  <c r="E20" i="14"/>
  <c r="A1" i="14"/>
  <c r="A1" i="13"/>
  <c r="B34" i="14"/>
  <c r="K26" i="8"/>
  <c r="K29" i="8"/>
  <c r="F37" i="8"/>
  <c r="N27" i="8"/>
  <c r="A1" i="4" s="1"/>
  <c r="K30" i="8"/>
  <c r="K27" i="8"/>
  <c r="K28" i="8"/>
  <c r="A43" i="13"/>
  <c r="F26" i="13"/>
  <c r="K31" i="8"/>
  <c r="K34" i="8"/>
  <c r="E18" i="13" l="1"/>
  <c r="E18" i="14"/>
  <c r="F39" i="8"/>
  <c r="E18" i="4"/>
  <c r="N33" i="8" s="1"/>
  <c r="E25" i="13"/>
  <c r="E25" i="4"/>
  <c r="N31" i="8"/>
  <c r="J24" i="14"/>
  <c r="J26" i="14"/>
  <c r="N30" i="8"/>
  <c r="N32" i="8"/>
  <c r="N29" i="8"/>
  <c r="E8" i="14" l="1"/>
  <c r="E8" i="13"/>
  <c r="E8" i="4"/>
  <c r="N35" i="8"/>
  <c r="E26" i="13" l="1"/>
  <c r="E27" i="13" s="1"/>
  <c r="P39" i="13" s="1"/>
  <c r="E26" i="14"/>
  <c r="E27" i="14" s="1"/>
  <c r="E26" i="4"/>
  <c r="E27" i="4" s="1"/>
  <c r="P16" i="13" l="1"/>
  <c r="P6" i="14"/>
  <c r="P38" i="14"/>
  <c r="P16" i="14"/>
  <c r="P37" i="4"/>
  <c r="B3" i="12"/>
  <c r="B33" i="14" s="1"/>
  <c r="A30" i="13"/>
  <c r="I3" i="13"/>
  <c r="P6" i="13"/>
  <c r="P7" i="13" s="1"/>
  <c r="P9" i="13" s="1"/>
  <c r="P16" i="4"/>
  <c r="P6" i="4"/>
  <c r="P30" i="4" s="1"/>
  <c r="F3" i="12" l="1"/>
  <c r="B32" i="14"/>
  <c r="P7" i="14"/>
  <c r="P9" i="14" s="1"/>
  <c r="P31" i="14"/>
  <c r="P13" i="13"/>
  <c r="P14" i="13" s="1"/>
  <c r="P17" i="13"/>
  <c r="K10" i="13"/>
  <c r="P7" i="4"/>
  <c r="P9" i="4" s="1"/>
  <c r="B33" i="13"/>
  <c r="F4" i="12"/>
  <c r="F2" i="12"/>
  <c r="B32" i="13"/>
  <c r="E35" i="14" l="1"/>
  <c r="P17" i="14"/>
  <c r="K10" i="14"/>
  <c r="P13" i="14"/>
  <c r="P14" i="14" s="1"/>
  <c r="E35" i="13"/>
  <c r="P13" i="4"/>
  <c r="P14" i="4" s="1"/>
  <c r="K10" i="4"/>
  <c r="P17" i="4"/>
  <c r="P18" i="13"/>
  <c r="P20" i="13" s="1"/>
  <c r="P40" i="13" s="1"/>
  <c r="P26" i="14" l="1"/>
  <c r="P40" i="14"/>
  <c r="P25" i="14"/>
  <c r="P18" i="14"/>
  <c r="P20" i="14" s="1"/>
  <c r="P18" i="4"/>
  <c r="P25" i="4"/>
  <c r="P39" i="4"/>
  <c r="P37" i="13"/>
  <c r="P38" i="13" s="1"/>
  <c r="P24" i="13"/>
  <c r="P41" i="13"/>
  <c r="P20" i="4" l="1"/>
  <c r="P26" i="4" s="1"/>
  <c r="P27" i="14"/>
  <c r="P30" i="14"/>
  <c r="P32" i="13"/>
  <c r="P33" i="13" s="1"/>
  <c r="P25" i="13"/>
  <c r="P28" i="13" s="1"/>
  <c r="P29" i="13" s="1"/>
  <c r="P29" i="4" l="1"/>
  <c r="P31" i="4" s="1"/>
  <c r="P38" i="4" s="1"/>
  <c r="P32" i="14"/>
  <c r="I35" i="13"/>
  <c r="I33" i="4" l="1"/>
  <c r="I34" i="14"/>
  <c r="P39" i="14"/>
  <c r="P36" i="14" s="1"/>
  <c r="P35" i="4"/>
  <c r="P37" i="14" l="1"/>
  <c r="P36" i="4"/>
</calcChain>
</file>

<file path=xl/sharedStrings.xml><?xml version="1.0" encoding="utf-8"?>
<sst xmlns="http://schemas.openxmlformats.org/spreadsheetml/2006/main" count="229" uniqueCount="113">
  <si>
    <t>Cell Color Code</t>
  </si>
  <si>
    <t>MORTGAGE INFORMATION</t>
  </si>
  <si>
    <t>Requires Input</t>
  </si>
  <si>
    <t>Linked Cell</t>
  </si>
  <si>
    <t>Formula Cell</t>
  </si>
  <si>
    <t>Result Cell</t>
  </si>
  <si>
    <t>Owner Type</t>
  </si>
  <si>
    <t>BORROWER INFORMATION</t>
  </si>
  <si>
    <t>Loan Terms</t>
  </si>
  <si>
    <t>Estimated Value of Property</t>
  </si>
  <si>
    <t>Original Principal</t>
  </si>
  <si>
    <t>Term in Months</t>
  </si>
  <si>
    <t>Current Interest Rate</t>
  </si>
  <si>
    <t>Borrower Gross Monthly Income</t>
  </si>
  <si>
    <t>Rate Type</t>
  </si>
  <si>
    <t>Fixed Rate</t>
  </si>
  <si>
    <t>Timing of Employment Income</t>
  </si>
  <si>
    <t>Monthly</t>
  </si>
  <si>
    <t>Date of First Payment</t>
  </si>
  <si>
    <t>Employment Income</t>
  </si>
  <si>
    <t>Amount of Forbearance</t>
  </si>
  <si>
    <t>Monthly Employment Income</t>
  </si>
  <si>
    <t>Monthly Contribution</t>
  </si>
  <si>
    <t>Monthly Property Taxes</t>
  </si>
  <si>
    <t>Monthly Fixed Income</t>
  </si>
  <si>
    <t>Monthly Homeowner's Insurance</t>
  </si>
  <si>
    <t>Monthly Untaxed Income</t>
  </si>
  <si>
    <t>Monthly Association Fees</t>
  </si>
  <si>
    <t>Grossed up</t>
  </si>
  <si>
    <t>Arrears and UPB</t>
  </si>
  <si>
    <t>Rental income</t>
  </si>
  <si>
    <t>UPB Information:</t>
  </si>
  <si>
    <t>Primary Residence</t>
  </si>
  <si>
    <t>Reduced by 25%</t>
  </si>
  <si>
    <t>Rental Property</t>
  </si>
  <si>
    <t>Default Date</t>
  </si>
  <si>
    <t>Subtotal</t>
  </si>
  <si>
    <t>Co-Borrower</t>
  </si>
  <si>
    <t>Monthly PITIA Payment</t>
  </si>
  <si>
    <t>Gross Monthly Income</t>
  </si>
  <si>
    <t>MFY Legal Services Inc.'s Proprietary Waterfall Worksheet</t>
  </si>
  <si>
    <t>STEP 4: FORBEAR PRINCIPAL</t>
  </si>
  <si>
    <t>Property value</t>
  </si>
  <si>
    <t>Capitalized UPB</t>
  </si>
  <si>
    <t>Post-Mod LTV</t>
  </si>
  <si>
    <t>Is post-mod LTV greater than 100%?</t>
  </si>
  <si>
    <t>CURRENT MONTHLY PITIA AMOUNT</t>
  </si>
  <si>
    <t>Forbear the lesser of….</t>
  </si>
  <si>
    <t>(i) Post-mod LTV = 100%</t>
  </si>
  <si>
    <t>Principal &amp; Interest</t>
  </si>
  <si>
    <t>New UPB</t>
  </si>
  <si>
    <t>Taxes</t>
  </si>
  <si>
    <t>+</t>
  </si>
  <si>
    <t>Forbearance</t>
  </si>
  <si>
    <t>Insurance</t>
  </si>
  <si>
    <t>(ii) 30% of capitalized UPB</t>
  </si>
  <si>
    <t>Association Fee</t>
  </si>
  <si>
    <t>Amount to forbear</t>
  </si>
  <si>
    <t>Remaining Term on Loan</t>
  </si>
  <si>
    <t>months</t>
  </si>
  <si>
    <t>New interest-bearing principal balance</t>
  </si>
  <si>
    <t>STEP 5: TEST FOR FURTHER FORBEARANCE</t>
  </si>
  <si>
    <t>STEP 1: CAPITALIZE THE ARREARAGE</t>
  </si>
  <si>
    <t>Current Principal Balance</t>
  </si>
  <si>
    <t>Target Amortizing UPB for 20% P&amp;I Reduction</t>
  </si>
  <si>
    <t>Unpaid Principal Balance</t>
  </si>
  <si>
    <t>Additional Forbearance Needed For Target</t>
  </si>
  <si>
    <t>Forbearance Limits</t>
  </si>
  <si>
    <t>STEP 2: SET INTEREST RATE</t>
  </si>
  <si>
    <t>MTMLTV at 80%</t>
  </si>
  <si>
    <t>30% of Post-Mod UPB</t>
  </si>
  <si>
    <t>Additional Forbearance</t>
  </si>
  <si>
    <t>Result</t>
  </si>
  <si>
    <t>New P&amp;I Payment</t>
  </si>
  <si>
    <t>New PITIA Payment</t>
  </si>
  <si>
    <t>New Principal Balance</t>
  </si>
  <si>
    <t>STEP 3: EXTEND THE TERM</t>
  </si>
  <si>
    <t>Principal Forbearance</t>
  </si>
  <si>
    <t>New Interest Rate</t>
  </si>
  <si>
    <t>New mortgage term</t>
  </si>
  <si>
    <t xml:space="preserve"> months</t>
  </si>
  <si>
    <t>New Term</t>
  </si>
  <si>
    <t>Mobilization for Justice Inc.'s Proprietary Waterfall Worksheet</t>
  </si>
  <si>
    <t>Is post-mod LTV greater than 115%?</t>
  </si>
  <si>
    <t>(i) Post-mod LTV = 115%</t>
  </si>
  <si>
    <t>TEST FOR AFFORDABILITY</t>
  </si>
  <si>
    <t>CAPITALIZE THE ARREARAGE</t>
  </si>
  <si>
    <t>Post-mod P&amp;I payment</t>
  </si>
  <si>
    <t>Post-mod PITIA payment</t>
  </si>
  <si>
    <t>(1) Is new DTI between 10% and 55%</t>
  </si>
  <si>
    <t>Post-mod DTI</t>
  </si>
  <si>
    <t>Answer</t>
  </si>
  <si>
    <t>(2) Is new P&amp;I less than old P&amp;I?</t>
  </si>
  <si>
    <t xml:space="preserve">Percent Reduction </t>
  </si>
  <si>
    <t>Current Rate</t>
  </si>
  <si>
    <t>EXTEND THE TERM</t>
  </si>
  <si>
    <t>Owner</t>
  </si>
  <si>
    <t>Infotype</t>
  </si>
  <si>
    <t>Adjustable Rate</t>
  </si>
  <si>
    <t>Lifetime Rate Cap</t>
  </si>
  <si>
    <t>MTMLTV</t>
  </si>
  <si>
    <t>Step Rate</t>
  </si>
  <si>
    <t>Final Interest Rate</t>
  </si>
  <si>
    <t>Current as of FNMA Lender Letter 2016-06</t>
  </si>
  <si>
    <t>Current as of FNMA Servicing Announcement 2015-12</t>
  </si>
  <si>
    <t>Current as of FDMC Servicing Bulletin 2017-1</t>
  </si>
  <si>
    <t>Current as of FDMC Servicing Bulletin 2015-15</t>
  </si>
  <si>
    <t>Lesser of:</t>
  </si>
  <si>
    <t>Target P&amp;I Reduction</t>
  </si>
  <si>
    <t>Fannie Mae</t>
  </si>
  <si>
    <t>Reduced by PITIA</t>
  </si>
  <si>
    <t>UPB at Default</t>
  </si>
  <si>
    <t>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</si>
</sst>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_([$$-409]* #,##0.00_);_([$$-409]* \(#,##0.00\);_([$$-409]* &quot;-&quot;??_);_(@_)"/>
    <numFmt numFmtId="168" formatCode="_(&quot;$&quot;* #,##0.000_);_(&quot;$&quot;* \(#,##0.000\);_(&quot;$&quot;* &quot;-&quot;?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b/>
      <u/>
      <sz val="14"/>
      <name val="Times New Roman"/>
      <family val="1"/>
    </font>
    <font>
      <sz val="12"/>
      <name val="Arial"/>
      <family val="2"/>
    </font>
    <font>
      <u/>
      <sz val="10"/>
      <color indexed="12"/>
      <name val="Verdana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12"/>
      <name val="Times New Roman"/>
      <family val="1"/>
    </font>
    <font>
      <i/>
      <sz val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Times New Roman"/>
      <family val="1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FFFF99"/>
        <bgColor indexed="64"/>
      </patternFill>
    </fill>
    <fill>
      <patternFill patternType="darkGray">
        <bgColor indexed="8"/>
      </patternFill>
    </fill>
    <fill>
      <patternFill patternType="darkGray">
        <bgColor theme="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7" fillId="0" borderId="0" xfId="0" applyFont="1" applyBorder="1"/>
    <xf numFmtId="0" fontId="0" fillId="0" borderId="0" xfId="0" quotePrefix="1" applyBorder="1"/>
    <xf numFmtId="0" fontId="3" fillId="0" borderId="0" xfId="0" applyFont="1" applyFill="1" applyBorder="1"/>
    <xf numFmtId="0" fontId="4" fillId="0" borderId="0" xfId="0" applyFont="1" applyBorder="1"/>
    <xf numFmtId="0" fontId="0" fillId="0" borderId="10" xfId="0" applyBorder="1"/>
    <xf numFmtId="0" fontId="11" fillId="0" borderId="0" xfId="0" applyFont="1" applyBorder="1"/>
    <xf numFmtId="0" fontId="6" fillId="0" borderId="0" xfId="0" applyFont="1" applyBorder="1"/>
    <xf numFmtId="10" fontId="1" fillId="0" borderId="0" xfId="3" applyNumberFormat="1" applyFill="1" applyBorder="1"/>
    <xf numFmtId="0" fontId="3" fillId="0" borderId="0" xfId="0" applyFont="1"/>
    <xf numFmtId="0" fontId="0" fillId="0" borderId="13" xfId="0" applyBorder="1"/>
    <xf numFmtId="0" fontId="4" fillId="0" borderId="14" xfId="0" applyFont="1" applyBorder="1"/>
    <xf numFmtId="14" fontId="1" fillId="3" borderId="2" xfId="1" applyNumberFormat="1" applyFill="1" applyBorder="1" applyProtection="1">
      <protection locked="0"/>
    </xf>
    <xf numFmtId="1" fontId="1" fillId="2" borderId="2" xfId="1" applyNumberFormat="1" applyFill="1" applyBorder="1"/>
    <xf numFmtId="166" fontId="1" fillId="7" borderId="2" xfId="3" applyNumberFormat="1" applyFill="1" applyBorder="1" applyProtection="1">
      <protection locked="0"/>
    </xf>
    <xf numFmtId="44" fontId="1" fillId="3" borderId="2" xfId="4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1" fillId="7" borderId="2" xfId="1" applyNumberFormat="1" applyFill="1" applyBorder="1" applyAlignment="1" applyProtection="1">
      <alignment horizontal="right"/>
      <protection locked="0"/>
    </xf>
    <xf numFmtId="44" fontId="1" fillId="2" borderId="2" xfId="4" applyFill="1" applyBorder="1" applyAlignment="1"/>
    <xf numFmtId="44" fontId="1" fillId="2" borderId="2" xfId="4" applyFill="1" applyBorder="1" applyAlignment="1">
      <alignment horizontal="left"/>
    </xf>
    <xf numFmtId="44" fontId="0" fillId="0" borderId="0" xfId="4" applyFont="1" applyAlignment="1">
      <alignment horizontal="left"/>
    </xf>
    <xf numFmtId="44" fontId="1" fillId="0" borderId="0" xfId="4" applyFill="1" applyBorder="1" applyAlignment="1">
      <alignment horizontal="left"/>
    </xf>
    <xf numFmtId="44" fontId="3" fillId="0" borderId="0" xfId="4" applyFont="1" applyFill="1" applyBorder="1" applyAlignment="1">
      <alignment horizontal="left"/>
    </xf>
    <xf numFmtId="44" fontId="0" fillId="0" borderId="0" xfId="4" applyFont="1" applyBorder="1" applyAlignment="1">
      <alignment horizontal="left"/>
    </xf>
    <xf numFmtId="44" fontId="1" fillId="7" borderId="2" xfId="4" applyFill="1" applyBorder="1" applyAlignment="1" applyProtection="1">
      <protection locked="0"/>
    </xf>
    <xf numFmtId="44" fontId="0" fillId="10" borderId="1" xfId="4" applyFont="1" applyFill="1" applyBorder="1" applyAlignment="1" applyProtection="1">
      <alignment horizontal="right"/>
    </xf>
    <xf numFmtId="0" fontId="0" fillId="7" borderId="2" xfId="0" applyFill="1" applyBorder="1" applyAlignment="1" applyProtection="1">
      <alignment horizontal="right"/>
      <protection locked="0"/>
    </xf>
    <xf numFmtId="44" fontId="0" fillId="7" borderId="2" xfId="4" applyFont="1" applyFill="1" applyBorder="1" applyAlignment="1" applyProtection="1">
      <alignment horizontal="left"/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6" borderId="5" xfId="0" applyFill="1" applyBorder="1" applyProtection="1"/>
    <xf numFmtId="0" fontId="0" fillId="0" borderId="0" xfId="0" applyProtection="1"/>
    <xf numFmtId="0" fontId="0" fillId="0" borderId="8" xfId="0" applyBorder="1" applyProtection="1"/>
    <xf numFmtId="0" fontId="8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6" borderId="0" xfId="0" applyFill="1" applyBorder="1" applyProtection="1"/>
    <xf numFmtId="0" fontId="12" fillId="0" borderId="0" xfId="0" applyFont="1" applyBorder="1" applyProtection="1"/>
    <xf numFmtId="44" fontId="0" fillId="4" borderId="2" xfId="4" applyFont="1" applyFill="1" applyBorder="1" applyProtection="1"/>
    <xf numFmtId="10" fontId="0" fillId="2" borderId="2" xfId="0" applyNumberFormat="1" applyFill="1" applyBorder="1" applyProtection="1"/>
    <xf numFmtId="0" fontId="3" fillId="0" borderId="0" xfId="0" applyFont="1" applyBorder="1" applyProtection="1"/>
    <xf numFmtId="44" fontId="3" fillId="4" borderId="2" xfId="4" applyFont="1" applyFill="1" applyBorder="1" applyProtection="1"/>
    <xf numFmtId="43" fontId="0" fillId="0" borderId="0" xfId="0" applyNumberFormat="1" applyBorder="1" applyProtection="1"/>
    <xf numFmtId="0" fontId="3" fillId="2" borderId="2" xfId="0" applyFont="1" applyFill="1" applyBorder="1" applyAlignment="1" applyProtection="1">
      <alignment horizontal="right"/>
    </xf>
    <xf numFmtId="0" fontId="7" fillId="0" borderId="0" xfId="0" applyFont="1" applyBorder="1" applyProtection="1"/>
    <xf numFmtId="0" fontId="11" fillId="0" borderId="0" xfId="0" applyFont="1" applyBorder="1" applyProtection="1"/>
    <xf numFmtId="43" fontId="1" fillId="0" borderId="0" xfId="1" applyBorder="1" applyProtection="1"/>
    <xf numFmtId="165" fontId="5" fillId="0" borderId="0" xfId="1" applyNumberFormat="1" applyFont="1" applyBorder="1" applyProtection="1"/>
    <xf numFmtId="44" fontId="0" fillId="2" borderId="2" xfId="4" applyFont="1" applyFill="1" applyBorder="1" applyAlignment="1" applyProtection="1">
      <alignment horizontal="left"/>
    </xf>
    <xf numFmtId="44" fontId="1" fillId="4" borderId="2" xfId="4" applyFill="1" applyBorder="1" applyProtection="1"/>
    <xf numFmtId="0" fontId="0" fillId="0" borderId="0" xfId="0" quotePrefix="1" applyBorder="1" applyProtection="1"/>
    <xf numFmtId="44" fontId="0" fillId="0" borderId="0" xfId="4" applyFont="1" applyBorder="1" applyAlignment="1" applyProtection="1">
      <alignment horizontal="left"/>
    </xf>
    <xf numFmtId="0" fontId="0" fillId="0" borderId="0" xfId="0" applyFont="1" applyFill="1" applyBorder="1" applyProtection="1"/>
    <xf numFmtId="44" fontId="3" fillId="2" borderId="2" xfId="4" applyFont="1" applyFill="1" applyBorder="1" applyProtection="1"/>
    <xf numFmtId="0" fontId="3" fillId="0" borderId="0" xfId="0" applyFont="1" applyFill="1" applyBorder="1" applyProtection="1"/>
    <xf numFmtId="10" fontId="1" fillId="0" borderId="0" xfId="3" applyNumberFormat="1" applyBorder="1" applyProtection="1"/>
    <xf numFmtId="10" fontId="3" fillId="0" borderId="0" xfId="1" applyNumberFormat="1" applyFont="1" applyBorder="1" applyProtection="1"/>
    <xf numFmtId="164" fontId="5" fillId="0" borderId="0" xfId="1" applyNumberFormat="1" applyFont="1" applyBorder="1" applyAlignment="1" applyProtection="1">
      <alignment horizontal="center"/>
    </xf>
    <xf numFmtId="0" fontId="0" fillId="0" borderId="10" xfId="0" applyBorder="1" applyProtection="1"/>
    <xf numFmtId="44" fontId="1" fillId="8" borderId="0" xfId="4" applyFill="1" applyBorder="1" applyAlignment="1">
      <alignment horizontal="left"/>
    </xf>
    <xf numFmtId="44" fontId="1" fillId="4" borderId="12" xfId="4" applyFill="1" applyBorder="1" applyProtection="1"/>
    <xf numFmtId="44" fontId="3" fillId="2" borderId="15" xfId="4" applyFont="1" applyFill="1" applyBorder="1" applyProtection="1"/>
    <xf numFmtId="44" fontId="1" fillId="8" borderId="16" xfId="4" applyFill="1" applyBorder="1" applyProtection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7" fontId="1" fillId="3" borderId="2" xfId="4" applyNumberFormat="1" applyFill="1" applyBorder="1" applyAlignment="1" applyProtection="1">
      <alignment horizontal="left"/>
      <protection locked="0"/>
    </xf>
    <xf numFmtId="0" fontId="1" fillId="0" borderId="0" xfId="0" quotePrefix="1" applyFont="1" applyBorder="1" applyProtection="1"/>
    <xf numFmtId="0" fontId="1" fillId="0" borderId="0" xfId="0" applyFont="1" applyBorder="1" applyProtection="1"/>
    <xf numFmtId="0" fontId="15" fillId="0" borderId="5" xfId="0" applyFont="1" applyBorder="1" applyProtection="1">
      <protection hidden="1"/>
    </xf>
    <xf numFmtId="0" fontId="0" fillId="8" borderId="0" xfId="0" applyFill="1" applyProtection="1"/>
    <xf numFmtId="0" fontId="3" fillId="0" borderId="10" xfId="0" applyFont="1" applyBorder="1"/>
    <xf numFmtId="44" fontId="1" fillId="8" borderId="10" xfId="4" applyFill="1" applyBorder="1"/>
    <xf numFmtId="0" fontId="4" fillId="0" borderId="10" xfId="0" applyFont="1" applyBorder="1"/>
    <xf numFmtId="44" fontId="1" fillId="8" borderId="10" xfId="4" applyFill="1" applyBorder="1" applyAlignment="1">
      <alignment horizontal="left"/>
    </xf>
    <xf numFmtId="0" fontId="14" fillId="0" borderId="10" xfId="0" applyFont="1" applyBorder="1" applyAlignment="1" applyProtection="1">
      <alignment horizontal="right" vertical="top"/>
      <protection hidden="1"/>
    </xf>
    <xf numFmtId="0" fontId="0" fillId="0" borderId="10" xfId="0" applyBorder="1" applyProtection="1">
      <protection locked="0"/>
    </xf>
    <xf numFmtId="44" fontId="1" fillId="4" borderId="12" xfId="4" applyFill="1" applyBorder="1" applyAlignment="1" applyProtection="1"/>
    <xf numFmtId="0" fontId="0" fillId="8" borderId="0" xfId="0" applyFill="1" applyBorder="1" applyProtection="1"/>
    <xf numFmtId="0" fontId="15" fillId="0" borderId="5" xfId="0" applyFont="1" applyBorder="1" applyAlignment="1" applyProtection="1">
      <protection hidden="1"/>
    </xf>
    <xf numFmtId="44" fontId="0" fillId="0" borderId="0" xfId="4" applyFont="1" applyFill="1"/>
    <xf numFmtId="44" fontId="0" fillId="0" borderId="0" xfId="0" applyNumberFormat="1" applyFill="1"/>
    <xf numFmtId="168" fontId="0" fillId="0" borderId="0" xfId="0" applyNumberFormat="1" applyFill="1"/>
    <xf numFmtId="9" fontId="0" fillId="0" borderId="0" xfId="0" applyNumberFormat="1"/>
    <xf numFmtId="14" fontId="1" fillId="2" borderId="15" xfId="1" applyNumberFormat="1" applyFill="1" applyBorder="1"/>
    <xf numFmtId="0" fontId="15" fillId="8" borderId="6" xfId="0" applyFont="1" applyFill="1" applyBorder="1"/>
    <xf numFmtId="0" fontId="15" fillId="8" borderId="7" xfId="0" applyFont="1" applyFill="1" applyBorder="1"/>
    <xf numFmtId="0" fontId="15" fillId="8" borderId="11" xfId="0" applyFont="1" applyFill="1" applyBorder="1"/>
    <xf numFmtId="0" fontId="6" fillId="0" borderId="0" xfId="0" applyFont="1" applyBorder="1" applyProtection="1"/>
    <xf numFmtId="43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14" fillId="0" borderId="10" xfId="0" applyFont="1" applyBorder="1" applyAlignment="1" applyProtection="1">
      <alignment horizontal="right"/>
    </xf>
    <xf numFmtId="0" fontId="0" fillId="8" borderId="7" xfId="0" applyFill="1" applyBorder="1" applyProtection="1"/>
    <xf numFmtId="0" fontId="16" fillId="0" borderId="0" xfId="2" applyFont="1" applyBorder="1" applyAlignment="1" applyProtection="1"/>
    <xf numFmtId="0" fontId="0" fillId="8" borderId="11" xfId="0" applyFill="1" applyBorder="1" applyProtection="1"/>
    <xf numFmtId="0" fontId="0" fillId="8" borderId="18" xfId="0" applyFill="1" applyBorder="1" applyProtection="1"/>
    <xf numFmtId="44" fontId="1" fillId="2" borderId="15" xfId="4" applyFill="1" applyBorder="1" applyAlignment="1">
      <alignment horizontal="left"/>
    </xf>
    <xf numFmtId="0" fontId="1" fillId="0" borderId="0" xfId="0" applyFont="1" applyFill="1" applyBorder="1"/>
    <xf numFmtId="0" fontId="1" fillId="0" borderId="0" xfId="5" applyBorder="1"/>
    <xf numFmtId="0" fontId="1" fillId="0" borderId="0" xfId="5" applyFont="1" applyBorder="1"/>
    <xf numFmtId="44" fontId="1" fillId="3" borderId="2" xfId="4" applyFill="1" applyBorder="1" applyAlignment="1" applyProtection="1">
      <alignment horizontal="left"/>
      <protection locked="0"/>
    </xf>
    <xf numFmtId="44" fontId="1" fillId="3" borderId="12" xfId="4" applyFill="1" applyBorder="1" applyAlignment="1" applyProtection="1">
      <alignment horizontal="left"/>
      <protection locked="0"/>
    </xf>
    <xf numFmtId="44" fontId="1" fillId="2" borderId="12" xfId="4" applyFill="1" applyBorder="1" applyAlignment="1">
      <alignment horizontal="left"/>
    </xf>
    <xf numFmtId="44" fontId="1" fillId="8" borderId="16" xfId="4" applyFill="1" applyBorder="1" applyAlignment="1">
      <alignment horizontal="left"/>
    </xf>
    <xf numFmtId="44" fontId="1" fillId="7" borderId="2" xfId="4" applyFont="1" applyFill="1" applyBorder="1" applyAlignment="1" applyProtection="1">
      <alignment horizontal="right"/>
      <protection locked="0"/>
    </xf>
    <xf numFmtId="14" fontId="1" fillId="7" borderId="2" xfId="4" applyNumberFormat="1" applyFont="1" applyFill="1" applyBorder="1" applyAlignment="1" applyProtection="1">
      <alignment horizontal="right"/>
      <protection locked="0"/>
    </xf>
    <xf numFmtId="44" fontId="1" fillId="12" borderId="2" xfId="4" applyFill="1" applyBorder="1" applyAlignment="1" applyProtection="1">
      <alignment horizontal="left"/>
    </xf>
    <xf numFmtId="0" fontId="16" fillId="3" borderId="2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9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44" fontId="0" fillId="12" borderId="2" xfId="0" applyNumberFormat="1" applyFill="1" applyBorder="1" applyProtection="1"/>
    <xf numFmtId="0" fontId="0" fillId="9" borderId="2" xfId="0" applyFill="1" applyBorder="1" applyProtection="1"/>
    <xf numFmtId="44" fontId="1" fillId="9" borderId="2" xfId="4" applyFill="1" applyBorder="1" applyProtection="1"/>
    <xf numFmtId="0" fontId="14" fillId="8" borderId="9" xfId="0" applyFont="1" applyFill="1" applyBorder="1"/>
    <xf numFmtId="0" fontId="0" fillId="13" borderId="0" xfId="0" applyFill="1" applyBorder="1"/>
    <xf numFmtId="0" fontId="0" fillId="14" borderId="0" xfId="0" applyFill="1" applyBorder="1"/>
    <xf numFmtId="0" fontId="0" fillId="13" borderId="5" xfId="0" applyFill="1" applyBorder="1"/>
    <xf numFmtId="0" fontId="16" fillId="7" borderId="2" xfId="0" applyFont="1" applyFill="1" applyBorder="1" applyAlignment="1" applyProtection="1">
      <alignment horizontal="right" vertical="center"/>
      <protection locked="0"/>
    </xf>
    <xf numFmtId="0" fontId="1" fillId="7" borderId="2" xfId="0" applyFont="1" applyFill="1" applyBorder="1" applyAlignment="1" applyProtection="1">
      <alignment horizontal="right" vertical="center"/>
      <protection locked="0"/>
    </xf>
    <xf numFmtId="44" fontId="1" fillId="5" borderId="3" xfId="4" applyFill="1" applyBorder="1" applyAlignment="1">
      <alignment horizontal="left" vertical="center"/>
    </xf>
    <xf numFmtId="44" fontId="15" fillId="8" borderId="0" xfId="4" applyFont="1" applyFill="1" applyBorder="1" applyAlignment="1">
      <alignment horizontal="left" vertical="center"/>
    </xf>
    <xf numFmtId="9" fontId="0" fillId="0" borderId="0" xfId="3" applyFont="1" applyBorder="1" applyProtection="1"/>
    <xf numFmtId="9" fontId="3" fillId="0" borderId="0" xfId="3" applyFont="1" applyBorder="1" applyProtection="1"/>
    <xf numFmtId="9" fontId="3" fillId="0" borderId="0" xfId="3" applyFont="1" applyBorder="1" applyAlignment="1" applyProtection="1">
      <alignment horizontal="center"/>
    </xf>
    <xf numFmtId="0" fontId="16" fillId="0" borderId="0" xfId="0" applyFont="1" applyBorder="1"/>
    <xf numFmtId="0" fontId="16" fillId="0" borderId="0" xfId="0" applyFont="1"/>
    <xf numFmtId="44" fontId="16" fillId="7" borderId="2" xfId="4" applyFont="1" applyFill="1" applyBorder="1" applyAlignment="1" applyProtection="1">
      <alignment horizontal="left"/>
      <protection locked="0"/>
    </xf>
    <xf numFmtId="44" fontId="16" fillId="7" borderId="2" xfId="4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165" fontId="0" fillId="4" borderId="2" xfId="1" applyNumberFormat="1" applyFont="1" applyFill="1" applyBorder="1" applyProtection="1"/>
    <xf numFmtId="166" fontId="16" fillId="7" borderId="2" xfId="3" applyNumberFormat="1" applyFont="1" applyFill="1" applyBorder="1" applyAlignment="1" applyProtection="1">
      <alignment horizontal="right"/>
      <protection locked="0"/>
    </xf>
    <xf numFmtId="166" fontId="3" fillId="9" borderId="2" xfId="3" applyNumberFormat="1" applyFont="1" applyFill="1" applyBorder="1" applyProtection="1"/>
    <xf numFmtId="166" fontId="20" fillId="9" borderId="2" xfId="3" applyNumberFormat="1" applyFont="1" applyFill="1" applyBorder="1" applyProtection="1">
      <protection locked="0"/>
    </xf>
    <xf numFmtId="166" fontId="20" fillId="9" borderId="2" xfId="3" applyNumberFormat="1" applyFont="1" applyFill="1" applyBorder="1" applyProtection="1"/>
    <xf numFmtId="0" fontId="1" fillId="0" borderId="0" xfId="0" applyFont="1" applyProtection="1"/>
    <xf numFmtId="0" fontId="1" fillId="0" borderId="0" xfId="0" applyFont="1" applyFill="1" applyBorder="1" applyProtection="1"/>
    <xf numFmtId="44" fontId="1" fillId="8" borderId="0" xfId="4" applyFont="1" applyFill="1" applyBorder="1" applyProtection="1"/>
    <xf numFmtId="44" fontId="1" fillId="10" borderId="2" xfId="4" applyFont="1" applyFill="1" applyBorder="1" applyAlignment="1" applyProtection="1">
      <alignment horizontal="right"/>
    </xf>
    <xf numFmtId="44" fontId="1" fillId="10" borderId="2" xfId="0" applyNumberFormat="1" applyFont="1" applyFill="1" applyBorder="1" applyAlignment="1" applyProtection="1">
      <alignment horizontal="right"/>
    </xf>
    <xf numFmtId="44" fontId="1" fillId="10" borderId="2" xfId="4" applyFont="1" applyFill="1" applyBorder="1" applyProtection="1"/>
    <xf numFmtId="166" fontId="1" fillId="10" borderId="2" xfId="0" applyNumberFormat="1" applyFont="1" applyFill="1" applyBorder="1" applyAlignment="1" applyProtection="1">
      <alignment horizontal="right"/>
    </xf>
    <xf numFmtId="0" fontId="0" fillId="10" borderId="2" xfId="0" applyFill="1" applyBorder="1" applyProtection="1"/>
    <xf numFmtId="44" fontId="0" fillId="12" borderId="2" xfId="4" applyFont="1" applyFill="1" applyBorder="1" applyProtection="1"/>
    <xf numFmtId="44" fontId="1" fillId="10" borderId="15" xfId="4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10" fontId="0" fillId="8" borderId="0" xfId="3" applyNumberFormat="1" applyFont="1" applyFill="1" applyBorder="1" applyProtection="1">
      <protection locked="0"/>
    </xf>
    <xf numFmtId="0" fontId="11" fillId="0" borderId="0" xfId="0" applyFont="1" applyAlignment="1" applyProtection="1"/>
    <xf numFmtId="0" fontId="11" fillId="0" borderId="7" xfId="0" applyFont="1" applyBorder="1" applyAlignment="1" applyProtection="1"/>
    <xf numFmtId="0" fontId="3" fillId="0" borderId="0" xfId="0" applyFont="1" applyAlignment="1" applyProtection="1"/>
    <xf numFmtId="166" fontId="1" fillId="3" borderId="2" xfId="3" applyNumberFormat="1" applyFont="1" applyFill="1" applyBorder="1" applyAlignment="1" applyProtection="1">
      <alignment vertical="center"/>
      <protection locked="0"/>
    </xf>
    <xf numFmtId="0" fontId="1" fillId="0" borderId="0" xfId="5" applyProtection="1"/>
    <xf numFmtId="0" fontId="1" fillId="0" borderId="4" xfId="5" applyBorder="1" applyProtection="1"/>
    <xf numFmtId="0" fontId="15" fillId="0" borderId="5" xfId="5" applyFont="1" applyBorder="1" applyProtection="1">
      <protection hidden="1"/>
    </xf>
    <xf numFmtId="0" fontId="1" fillId="0" borderId="5" xfId="5" applyBorder="1" applyProtection="1"/>
    <xf numFmtId="0" fontId="1" fillId="6" borderId="5" xfId="5" applyFill="1" applyBorder="1" applyProtection="1"/>
    <xf numFmtId="0" fontId="1" fillId="8" borderId="18" xfId="5" applyFill="1" applyBorder="1" applyProtection="1"/>
    <xf numFmtId="0" fontId="1" fillId="0" borderId="8" xfId="5" applyBorder="1" applyProtection="1"/>
    <xf numFmtId="0" fontId="8" fillId="0" borderId="0" xfId="5" applyFont="1" applyBorder="1" applyAlignment="1" applyProtection="1">
      <alignment vertical="center"/>
    </xf>
    <xf numFmtId="0" fontId="1" fillId="0" borderId="0" xfId="5" applyBorder="1" applyProtection="1"/>
    <xf numFmtId="0" fontId="1" fillId="0" borderId="0" xfId="5" applyFill="1" applyBorder="1" applyProtection="1"/>
    <xf numFmtId="0" fontId="1" fillId="6" borderId="0" xfId="5" applyFill="1" applyBorder="1" applyProtection="1"/>
    <xf numFmtId="0" fontId="1" fillId="8" borderId="7" xfId="5" applyFill="1" applyBorder="1" applyProtection="1"/>
    <xf numFmtId="0" fontId="16" fillId="3" borderId="2" xfId="5" applyFont="1" applyFill="1" applyBorder="1" applyAlignment="1">
      <alignment horizontal="center"/>
    </xf>
    <xf numFmtId="0" fontId="16" fillId="9" borderId="2" xfId="5" applyFont="1" applyFill="1" applyBorder="1" applyAlignment="1">
      <alignment horizontal="center"/>
    </xf>
    <xf numFmtId="0" fontId="12" fillId="0" borderId="0" xfId="5" applyFont="1" applyBorder="1" applyProtection="1"/>
    <xf numFmtId="0" fontId="16" fillId="2" borderId="2" xfId="5" applyFont="1" applyFill="1" applyBorder="1" applyAlignment="1">
      <alignment horizontal="center"/>
    </xf>
    <xf numFmtId="0" fontId="16" fillId="10" borderId="2" xfId="5" applyFont="1" applyFill="1" applyBorder="1" applyAlignment="1">
      <alignment horizontal="center"/>
    </xf>
    <xf numFmtId="0" fontId="1" fillId="0" borderId="0" xfId="5" applyFont="1" applyBorder="1" applyProtection="1"/>
    <xf numFmtId="0" fontId="1" fillId="8" borderId="7" xfId="5" applyFont="1" applyFill="1" applyBorder="1" applyProtection="1"/>
    <xf numFmtId="10" fontId="1" fillId="2" borderId="2" xfId="5" applyNumberFormat="1" applyFill="1" applyBorder="1" applyProtection="1"/>
    <xf numFmtId="0" fontId="6" fillId="0" borderId="0" xfId="5" applyFont="1" applyBorder="1" applyProtection="1"/>
    <xf numFmtId="0" fontId="3" fillId="0" borderId="0" xfId="5" applyFont="1" applyBorder="1" applyProtection="1"/>
    <xf numFmtId="43" fontId="1" fillId="0" borderId="0" xfId="5" applyNumberFormat="1" applyBorder="1" applyProtection="1"/>
    <xf numFmtId="0" fontId="3" fillId="2" borderId="2" xfId="5" applyFont="1" applyFill="1" applyBorder="1" applyAlignment="1" applyProtection="1">
      <alignment horizontal="right"/>
    </xf>
    <xf numFmtId="0" fontId="7" fillId="0" borderId="0" xfId="5" applyFont="1" applyBorder="1" applyProtection="1"/>
    <xf numFmtId="0" fontId="11" fillId="0" borderId="0" xfId="5" applyFont="1" applyBorder="1" applyProtection="1"/>
    <xf numFmtId="0" fontId="1" fillId="0" borderId="0" xfId="5" quotePrefix="1" applyBorder="1" applyProtection="1"/>
    <xf numFmtId="44" fontId="1" fillId="12" borderId="2" xfId="5" applyNumberFormat="1" applyFill="1" applyBorder="1" applyProtection="1"/>
    <xf numFmtId="0" fontId="1" fillId="0" borderId="0" xfId="5" applyFont="1" applyFill="1" applyBorder="1" applyProtection="1"/>
    <xf numFmtId="0" fontId="3" fillId="0" borderId="0" xfId="5" applyFont="1" applyFill="1" applyBorder="1" applyProtection="1"/>
    <xf numFmtId="44" fontId="1" fillId="2" borderId="2" xfId="4" applyFont="1" applyFill="1" applyBorder="1" applyAlignment="1" applyProtection="1">
      <alignment horizontal="left"/>
    </xf>
    <xf numFmtId="0" fontId="1" fillId="4" borderId="2" xfId="5" applyFill="1" applyBorder="1" applyProtection="1"/>
    <xf numFmtId="0" fontId="3" fillId="8" borderId="0" xfId="5" applyFont="1" applyFill="1" applyBorder="1" applyProtection="1"/>
    <xf numFmtId="0" fontId="1" fillId="8" borderId="0" xfId="5" applyFill="1" applyBorder="1" applyProtection="1"/>
    <xf numFmtId="44" fontId="1" fillId="2" borderId="2" xfId="4" applyFont="1" applyFill="1" applyBorder="1" applyProtection="1"/>
    <xf numFmtId="0" fontId="1" fillId="0" borderId="0" xfId="5" quotePrefix="1" applyFont="1" applyBorder="1" applyProtection="1"/>
    <xf numFmtId="0" fontId="3" fillId="8" borderId="0" xfId="5" applyFont="1" applyFill="1" applyBorder="1" applyAlignment="1" applyProtection="1">
      <alignment horizontal="right"/>
    </xf>
    <xf numFmtId="0" fontId="1" fillId="6" borderId="0" xfId="5" applyFont="1" applyFill="1" applyBorder="1" applyProtection="1"/>
    <xf numFmtId="43" fontId="1" fillId="0" borderId="0" xfId="5" applyNumberFormat="1" applyFill="1" applyBorder="1" applyProtection="1"/>
    <xf numFmtId="0" fontId="1" fillId="9" borderId="2" xfId="5" applyFill="1" applyBorder="1" applyProtection="1"/>
    <xf numFmtId="0" fontId="14" fillId="8" borderId="9" xfId="5" applyFont="1" applyFill="1" applyBorder="1"/>
    <xf numFmtId="0" fontId="1" fillId="0" borderId="10" xfId="5" applyBorder="1" applyProtection="1"/>
    <xf numFmtId="0" fontId="14" fillId="0" borderId="10" xfId="5" applyFont="1" applyBorder="1" applyAlignment="1" applyProtection="1">
      <alignment horizontal="right"/>
    </xf>
    <xf numFmtId="0" fontId="1" fillId="8" borderId="11" xfId="5" applyFill="1" applyBorder="1" applyProtection="1"/>
    <xf numFmtId="0" fontId="1" fillId="8" borderId="0" xfId="5" applyFill="1" applyProtection="1"/>
    <xf numFmtId="8" fontId="0" fillId="0" borderId="0" xfId="0" applyNumberFormat="1" applyProtection="1"/>
    <xf numFmtId="44" fontId="0" fillId="0" borderId="0" xfId="0" applyNumberFormat="1" applyProtection="1"/>
    <xf numFmtId="0" fontId="1" fillId="0" borderId="0" xfId="0" applyFont="1" applyAlignment="1"/>
    <xf numFmtId="0" fontId="1" fillId="13" borderId="0" xfId="0" applyFont="1" applyFill="1" applyBorder="1"/>
    <xf numFmtId="44" fontId="1" fillId="9" borderId="2" xfId="4" applyFont="1" applyFill="1" applyBorder="1" applyProtection="1"/>
    <xf numFmtId="0" fontId="1" fillId="8" borderId="7" xfId="0" applyFont="1" applyFill="1" applyBorder="1" applyProtection="1"/>
    <xf numFmtId="44" fontId="1" fillId="12" borderId="2" xfId="4" applyFont="1" applyFill="1" applyBorder="1" applyProtection="1"/>
    <xf numFmtId="0" fontId="1" fillId="6" borderId="0" xfId="0" applyFont="1" applyFill="1" applyBorder="1" applyProtection="1"/>
    <xf numFmtId="0" fontId="10" fillId="0" borderId="0" xfId="2" applyFont="1" applyBorder="1" applyAlignment="1" applyProtection="1"/>
    <xf numFmtId="0" fontId="15" fillId="0" borderId="0" xfId="0" applyFont="1" applyFill="1" applyBorder="1" applyProtection="1"/>
    <xf numFmtId="44" fontId="1" fillId="10" borderId="2" xfId="4" applyFont="1" applyFill="1" applyBorder="1" applyAlignment="1" applyProtection="1"/>
    <xf numFmtId="44" fontId="1" fillId="10" borderId="15" xfId="4" applyFont="1" applyFill="1" applyBorder="1" applyAlignment="1" applyProtection="1"/>
    <xf numFmtId="0" fontId="1" fillId="8" borderId="0" xfId="0" applyFont="1" applyFill="1" applyBorder="1" applyProtection="1"/>
    <xf numFmtId="8" fontId="0" fillId="12" borderId="2" xfId="4" applyNumberFormat="1" applyFont="1" applyFill="1" applyBorder="1" applyProtection="1"/>
    <xf numFmtId="0" fontId="13" fillId="0" borderId="8" xfId="0" applyFont="1" applyBorder="1" applyAlignment="1"/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2" applyAlignment="1" applyProtection="1">
      <alignment horizontal="left" vertical="center"/>
    </xf>
    <xf numFmtId="0" fontId="19" fillId="0" borderId="0" xfId="2" applyFont="1" applyAlignment="1" applyProtection="1">
      <alignment horizontal="left" vertical="center"/>
    </xf>
    <xf numFmtId="0" fontId="19" fillId="0" borderId="0" xfId="2" applyFont="1" applyBorder="1" applyAlignment="1" applyProtection="1">
      <alignment horizontal="left" vertical="center"/>
    </xf>
    <xf numFmtId="0" fontId="18" fillId="0" borderId="0" xfId="2" applyFont="1" applyBorder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11" borderId="4" xfId="0" applyFont="1" applyFill="1" applyBorder="1" applyAlignment="1" applyProtection="1">
      <alignment horizontal="center"/>
    </xf>
    <xf numFmtId="0" fontId="17" fillId="11" borderId="5" xfId="0" applyFont="1" applyFill="1" applyBorder="1" applyAlignment="1" applyProtection="1">
      <alignment horizontal="center"/>
    </xf>
    <xf numFmtId="0" fontId="17" fillId="11" borderId="6" xfId="0" applyFont="1" applyFill="1" applyBorder="1" applyAlignment="1" applyProtection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17" xfId="5" applyFont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18" xfId="5" applyFont="1" applyBorder="1" applyAlignment="1">
      <alignment horizontal="center" vertical="center"/>
    </xf>
    <xf numFmtId="0" fontId="3" fillId="8" borderId="17" xfId="5" applyFont="1" applyFill="1" applyBorder="1" applyAlignment="1" applyProtection="1">
      <alignment horizontal="center"/>
    </xf>
    <xf numFmtId="0" fontId="3" fillId="8" borderId="16" xfId="5" applyFont="1" applyFill="1" applyBorder="1" applyAlignment="1" applyProtection="1">
      <alignment horizontal="center"/>
    </xf>
    <xf numFmtId="0" fontId="3" fillId="8" borderId="18" xfId="5" applyFont="1" applyFill="1" applyBorder="1" applyAlignment="1" applyProtection="1">
      <alignment horizontal="center"/>
    </xf>
    <xf numFmtId="0" fontId="17" fillId="11" borderId="4" xfId="5" applyFont="1" applyFill="1" applyBorder="1" applyAlignment="1" applyProtection="1">
      <alignment horizontal="center"/>
    </xf>
    <xf numFmtId="0" fontId="17" fillId="11" borderId="5" xfId="5" applyFont="1" applyFill="1" applyBorder="1" applyAlignment="1" applyProtection="1">
      <alignment horizontal="center"/>
    </xf>
    <xf numFmtId="0" fontId="17" fillId="11" borderId="6" xfId="5" applyFont="1" applyFill="1" applyBorder="1" applyAlignment="1" applyProtection="1">
      <alignment horizontal="center"/>
    </xf>
    <xf numFmtId="0" fontId="11" fillId="0" borderId="10" xfId="5" applyFont="1" applyBorder="1" applyAlignment="1">
      <alignment horizontal="center" vertical="center"/>
    </xf>
  </cellXfs>
  <cellStyles count="6">
    <cellStyle name="Comma" xfId="1" builtinId="3"/>
    <cellStyle name="Currency" xfId="4" builtinId="4"/>
    <cellStyle name="Hyperlink" xfId="2" builtinId="8"/>
    <cellStyle name="Normal" xfId="0" builtinId="0"/>
    <cellStyle name="Normal 2" xfId="5" xr:uid="{00000000-0005-0000-0000-000004000000}"/>
    <cellStyle name="Percent" xfId="3" builtinId="5"/>
  </cellStyles>
  <dxfs count="32"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 val="0"/>
        <i/>
      </font>
    </dxf>
    <dxf>
      <font>
        <b/>
        <i val="0"/>
        <color theme="5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colors>
    <mruColors>
      <color rgb="FF0000FF"/>
      <color rgb="FFFFFF99"/>
      <color rgb="FFCC99FF"/>
      <color rgb="FFCCFFCC"/>
      <color rgb="FFCCFFFF"/>
      <color rgb="FFCCECFF"/>
      <color rgb="FFA7A7A7"/>
      <color rgb="FFFFFF66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ebella\AppData\Local\Microsoft\Windows\Temporary%20Internet%20Files\Content.Outlook\X54QRG82\Waterfall%20Worksheet%20-%20HAMP%20&amp;%20GSE%20Standard%20Modifi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yfs2\Documents%20and%20Settings\nwoods\Local%20Settings\Temporary%20Internet%20Files\OLK141\HAMP%20Waterfall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lex Mod"/>
      <sheetName val="Standard"/>
      <sheetName val="Calculations"/>
      <sheetName val="Data Validation"/>
      <sheetName val="2MP"/>
    </sheetNames>
    <sheetDataSet>
      <sheetData sheetId="0">
        <row r="6">
          <cell r="N6" t="str">
            <v>Ocwen</v>
          </cell>
        </row>
      </sheetData>
      <sheetData sheetId="1">
        <row r="14">
          <cell r="E14">
            <v>300</v>
          </cell>
        </row>
      </sheetData>
      <sheetData sheetId="2"/>
      <sheetData sheetId="3"/>
      <sheetData sheetId="4">
        <row r="15">
          <cell r="J15" t="str">
            <v>Worksheet HAMP</v>
          </cell>
          <cell r="K15" t="str">
            <v>Worksheet Std. Mod.</v>
          </cell>
          <cell r="L15" t="str">
            <v>Custom</v>
          </cell>
        </row>
        <row r="16">
          <cell r="I16" t="str">
            <v>Initial P&amp;I Payment</v>
          </cell>
          <cell r="J16">
            <v>179.55169957078758</v>
          </cell>
          <cell r="K16">
            <v>242.2115997995937</v>
          </cell>
          <cell r="L16">
            <v>411.13195323341853</v>
          </cell>
        </row>
        <row r="17">
          <cell r="I17" t="str">
            <v>Principal Balance</v>
          </cell>
          <cell r="J17">
            <v>95790.314353250869</v>
          </cell>
          <cell r="K17">
            <v>95790.314353250869</v>
          </cell>
          <cell r="L17">
            <v>95790.314353250869</v>
          </cell>
        </row>
        <row r="18">
          <cell r="I18" t="str">
            <v>Principal Forbearance</v>
          </cell>
          <cell r="J18">
            <v>24780.859154668546</v>
          </cell>
          <cell r="K18">
            <v>0</v>
          </cell>
          <cell r="L18">
            <v>2708.7319649292021</v>
          </cell>
        </row>
        <row r="19">
          <cell r="I19" t="str">
            <v>Initial Rate</v>
          </cell>
          <cell r="J19">
            <v>0.01</v>
          </cell>
          <cell r="K19">
            <v>0.01</v>
          </cell>
          <cell r="L19">
            <v>0.01</v>
          </cell>
        </row>
        <row r="20">
          <cell r="I20" t="str">
            <v>Term</v>
          </cell>
          <cell r="J20">
            <v>480</v>
          </cell>
          <cell r="K20">
            <v>480</v>
          </cell>
          <cell r="L20">
            <v>251</v>
          </cell>
        </row>
        <row r="21">
          <cell r="I21" t="str">
            <v>Step 2 Rate</v>
          </cell>
          <cell r="J21">
            <v>0.03</v>
          </cell>
          <cell r="K21">
            <v>0.04</v>
          </cell>
          <cell r="L21">
            <v>0.03</v>
          </cell>
        </row>
        <row r="22">
          <cell r="I22" t="str">
            <v>Step 3 Rate</v>
          </cell>
          <cell r="J22">
            <v>0.04</v>
          </cell>
          <cell r="L22">
            <v>3.7499999999999999E-2</v>
          </cell>
        </row>
        <row r="23">
          <cell r="I23" t="str">
            <v>Step 4 Rate</v>
          </cell>
          <cell r="J23">
            <v>0</v>
          </cell>
          <cell r="L23">
            <v>0</v>
          </cell>
        </row>
        <row r="24">
          <cell r="I24" t="str">
            <v>Step 5 Rate</v>
          </cell>
          <cell r="J24">
            <v>0</v>
          </cell>
          <cell r="L24">
            <v>0</v>
          </cell>
        </row>
        <row r="25">
          <cell r="I25" t="str">
            <v>Step 2 PMT</v>
          </cell>
          <cell r="J25">
            <v>244.78925409362287</v>
          </cell>
          <cell r="K25">
            <v>379.91715053402083</v>
          </cell>
          <cell r="L25">
            <v>478.30283472945007</v>
          </cell>
        </row>
        <row r="26">
          <cell r="I26" t="str">
            <v>Step 3 PMT</v>
          </cell>
          <cell r="J26">
            <v>280.22298090016625</v>
          </cell>
          <cell r="L26">
            <v>496.09347454255573</v>
          </cell>
        </row>
        <row r="27">
          <cell r="I27" t="str">
            <v>Step 4 PMT</v>
          </cell>
          <cell r="J27">
            <v>0</v>
          </cell>
          <cell r="L27">
            <v>0</v>
          </cell>
        </row>
        <row r="28">
          <cell r="I28" t="str">
            <v>Step 5 PMT</v>
          </cell>
          <cell r="J28">
            <v>0</v>
          </cell>
          <cell r="L28">
            <v>0</v>
          </cell>
        </row>
        <row r="29">
          <cell r="I29" t="str">
            <v>Step 2 AUPB</v>
          </cell>
          <cell r="J29">
            <v>63606.374763979649</v>
          </cell>
          <cell r="K29">
            <v>85803.709047945711</v>
          </cell>
          <cell r="L29">
            <v>72567.715668211546</v>
          </cell>
        </row>
        <row r="30">
          <cell r="I30" t="str">
            <v>Step 3 AUPB</v>
          </cell>
          <cell r="J30">
            <v>62441.365929268766</v>
          </cell>
          <cell r="L30">
            <v>67934.655833890763</v>
          </cell>
        </row>
        <row r="31">
          <cell r="I31" t="str">
            <v>Step 4 AUPB</v>
          </cell>
          <cell r="J31">
            <v>0</v>
          </cell>
          <cell r="L31">
            <v>0</v>
          </cell>
        </row>
        <row r="32">
          <cell r="I32" t="str">
            <v>Step 5 AUPB</v>
          </cell>
          <cell r="J32">
            <v>0</v>
          </cell>
          <cell r="L32">
            <v>0</v>
          </cell>
        </row>
      </sheetData>
      <sheetData sheetId="5">
        <row r="17">
          <cell r="E17" t="str">
            <v>Bank of America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AMP Tier 1"/>
      <sheetName val="HAMP Tier 2"/>
      <sheetName val="Mod Terms"/>
      <sheetName val="Data Validation"/>
      <sheetName val="Waterfall Explanation"/>
      <sheetName val="Check for Balloon"/>
      <sheetName val="HAMP Amortization Schedule"/>
    </sheetNames>
    <sheetDataSet>
      <sheetData sheetId="0" refreshError="1"/>
      <sheetData sheetId="1" refreshError="1"/>
      <sheetData sheetId="2">
        <row r="7">
          <cell r="D7">
            <v>40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66"/>
    <pageSetUpPr autoPageBreaks="0"/>
  </sheetPr>
  <dimension ref="A1:AA49"/>
  <sheetViews>
    <sheetView showGridLines="0" tabSelected="1" zoomScaleNormal="100" workbookViewId="0">
      <selection activeCell="M17" sqref="M17"/>
    </sheetView>
  </sheetViews>
  <sheetFormatPr defaultRowHeight="12.5" x14ac:dyDescent="0.25"/>
  <cols>
    <col min="1" max="1" width="3" customWidth="1"/>
    <col min="2" max="2" width="3.81640625" customWidth="1"/>
    <col min="3" max="3" width="7" customWidth="1"/>
    <col min="4" max="4" width="9.1796875" customWidth="1"/>
    <col min="5" max="6" width="15" customWidth="1"/>
    <col min="7" max="7" width="5.1796875" customWidth="1"/>
    <col min="8" max="8" width="12.1796875" customWidth="1"/>
    <col min="9" max="9" width="5.26953125" customWidth="1"/>
    <col min="10" max="10" width="5.81640625" customWidth="1"/>
    <col min="11" max="11" width="10.54296875" customWidth="1"/>
    <col min="12" max="12" width="9.7265625" customWidth="1"/>
    <col min="13" max="13" width="20.453125" customWidth="1"/>
    <col min="14" max="14" width="19.54296875" customWidth="1"/>
    <col min="15" max="15" width="3.7265625" customWidth="1"/>
    <col min="16" max="16" width="3" customWidth="1"/>
    <col min="17" max="17" width="12.7265625" customWidth="1"/>
    <col min="18" max="18" width="11.26953125" bestFit="1" customWidth="1"/>
  </cols>
  <sheetData>
    <row r="1" spans="1:27" ht="17.5" x14ac:dyDescent="0.35">
      <c r="A1" s="227" t="s">
        <v>112</v>
      </c>
      <c r="B1" s="227"/>
      <c r="C1" s="227"/>
      <c r="D1" s="227"/>
      <c r="E1" s="227"/>
      <c r="F1" s="227"/>
      <c r="G1" s="227"/>
      <c r="H1" s="227"/>
      <c r="I1" s="228"/>
      <c r="J1" s="227"/>
      <c r="K1" s="227"/>
      <c r="L1" s="227"/>
      <c r="M1" s="227"/>
      <c r="N1" s="227"/>
      <c r="O1" s="227"/>
      <c r="P1" s="227"/>
    </row>
    <row r="2" spans="1:27" ht="12.75" customHeight="1" x14ac:dyDescent="0.25">
      <c r="A2" s="5"/>
      <c r="B2" s="87" t="str">
        <f>IF(Inputs!$O$41="MFY's Proprietary Waterfall Worksheet for HAMP Tiers 1 and 2","","MFY's Proprietary Waterfall Worksheet for HAMP Tiers 1 and 2")</f>
        <v>MFY's Proprietary Waterfall Worksheet for HAMP Tiers 1 and 2</v>
      </c>
      <c r="C2" s="6"/>
      <c r="D2" s="6"/>
      <c r="E2" s="6"/>
      <c r="F2" s="6"/>
      <c r="G2" s="6"/>
      <c r="H2" s="6"/>
      <c r="I2" s="129"/>
      <c r="J2" s="6"/>
      <c r="K2" s="6"/>
      <c r="L2" s="6"/>
      <c r="M2" s="6"/>
      <c r="N2" s="6"/>
      <c r="O2" s="6"/>
      <c r="P2" s="9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5" customHeight="1" thickBot="1" x14ac:dyDescent="0.4">
      <c r="A3" s="7"/>
      <c r="B3" s="73"/>
      <c r="C3" s="1"/>
      <c r="D3" s="1"/>
      <c r="E3" s="229" t="s">
        <v>0</v>
      </c>
      <c r="F3" s="229"/>
      <c r="G3" s="1"/>
      <c r="I3" s="127"/>
      <c r="J3" s="1"/>
      <c r="K3" s="225" t="s">
        <v>1</v>
      </c>
      <c r="L3" s="226"/>
      <c r="M3" s="226"/>
      <c r="N3" s="226"/>
      <c r="O3" s="1"/>
      <c r="P3" s="94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 x14ac:dyDescent="0.25">
      <c r="A4" s="7"/>
      <c r="E4" s="119" t="s">
        <v>2</v>
      </c>
      <c r="F4" s="120" t="s">
        <v>3</v>
      </c>
      <c r="I4" s="127"/>
      <c r="J4" s="1"/>
      <c r="K4" s="1"/>
      <c r="L4" s="1"/>
      <c r="M4" s="1"/>
      <c r="N4" s="1"/>
      <c r="O4" s="1"/>
      <c r="P4" s="94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thickBot="1" x14ac:dyDescent="0.35">
      <c r="A5" s="7"/>
      <c r="E5" s="121" t="s">
        <v>4</v>
      </c>
      <c r="F5" s="122" t="s">
        <v>5</v>
      </c>
      <c r="I5" s="127"/>
      <c r="J5" s="1"/>
      <c r="K5" s="73" t="s">
        <v>6</v>
      </c>
      <c r="L5" s="1"/>
      <c r="M5" s="1"/>
      <c r="N5" s="131" t="s">
        <v>109</v>
      </c>
      <c r="O5" s="14"/>
      <c r="P5" s="94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 customHeight="1" x14ac:dyDescent="0.35">
      <c r="A6" s="7"/>
      <c r="B6" s="23"/>
      <c r="C6" s="24"/>
      <c r="D6" s="24"/>
      <c r="E6" s="24"/>
      <c r="F6" s="24"/>
      <c r="I6" s="127"/>
      <c r="J6" s="1"/>
      <c r="K6" s="233" t="str">
        <f>IF(Owner=3,"",IF(Owner=1,HYPERLINK("https://servicing-guide.fanniemae.com/THE-SERVICING-GUIDE/SVC-Guide-Exhibits/1306306821/Fannie-Mae-Modification-Interest-Rate-Exhibit-03-13-2020.htm","Fannie Mae Mod Rate"),IF(Owner=2,HYPERLINK("https://sf.freddiemac.com/general/freddie-mac-modification-interest-rate","Freddie Mac Mod Rate"),0)))</f>
        <v>Fannie Mae Mod Rate</v>
      </c>
      <c r="L6" s="233"/>
      <c r="M6" s="233"/>
      <c r="N6" s="164">
        <v>2.8750000000000001E-2</v>
      </c>
      <c r="O6" s="4"/>
      <c r="P6" s="94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 x14ac:dyDescent="0.3">
      <c r="A7" s="224"/>
      <c r="B7" s="225" t="s">
        <v>7</v>
      </c>
      <c r="C7" s="225"/>
      <c r="D7" s="225"/>
      <c r="E7" s="225"/>
      <c r="F7" s="225"/>
      <c r="I7" s="127"/>
      <c r="J7" s="1"/>
      <c r="K7" s="73" t="s">
        <v>9</v>
      </c>
      <c r="L7" s="1"/>
      <c r="M7" s="1"/>
      <c r="N7" s="35">
        <v>250000</v>
      </c>
      <c r="O7" s="14"/>
      <c r="P7" s="94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 x14ac:dyDescent="0.3">
      <c r="A8" s="7"/>
      <c r="I8" s="127"/>
      <c r="J8" s="1"/>
      <c r="K8" s="73"/>
      <c r="L8" s="1"/>
      <c r="M8" s="1"/>
      <c r="N8" s="14"/>
      <c r="O8" s="14"/>
      <c r="P8" s="94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 x14ac:dyDescent="0.3">
      <c r="A9" s="7"/>
      <c r="B9" s="16" t="s">
        <v>13</v>
      </c>
      <c r="F9" s="28"/>
      <c r="H9" s="1"/>
      <c r="I9" s="127"/>
      <c r="J9" s="234" t="s">
        <v>8</v>
      </c>
      <c r="K9" s="234"/>
      <c r="L9" s="234"/>
      <c r="M9" s="234"/>
      <c r="N9" s="234"/>
      <c r="O9" s="234"/>
      <c r="P9" s="235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 x14ac:dyDescent="0.3">
      <c r="A10" s="7"/>
      <c r="B10" s="107" t="s">
        <v>16</v>
      </c>
      <c r="C10" s="106"/>
      <c r="D10" s="106"/>
      <c r="E10" s="106"/>
      <c r="F10" s="112" t="s">
        <v>17</v>
      </c>
      <c r="H10" s="1"/>
      <c r="I10" s="127"/>
      <c r="J10" s="1"/>
      <c r="K10" s="71" t="s">
        <v>10</v>
      </c>
      <c r="L10" s="1"/>
      <c r="M10" s="1"/>
      <c r="N10" s="32">
        <v>175000</v>
      </c>
      <c r="O10" s="14"/>
      <c r="P10" s="9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 x14ac:dyDescent="0.3">
      <c r="A11" s="7"/>
      <c r="B11" s="107" t="str">
        <f>IF($F$10="YTD","Enter Date of YTD","")</f>
        <v/>
      </c>
      <c r="C11" s="106"/>
      <c r="D11" s="106"/>
      <c r="E11" s="106"/>
      <c r="F11" s="113">
        <v>42776</v>
      </c>
      <c r="H11" s="1"/>
      <c r="I11" s="127"/>
      <c r="J11" s="1"/>
      <c r="K11" s="71" t="s">
        <v>11</v>
      </c>
      <c r="L11" s="1"/>
      <c r="M11" s="1"/>
      <c r="N11" s="25">
        <v>360</v>
      </c>
      <c r="O11" s="14"/>
      <c r="P11" s="9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 x14ac:dyDescent="0.3">
      <c r="A12" s="7"/>
      <c r="B12" s="106" t="s">
        <v>19</v>
      </c>
      <c r="C12" s="106"/>
      <c r="D12" s="106"/>
      <c r="E12" s="106"/>
      <c r="F12" s="109">
        <v>0</v>
      </c>
      <c r="H12" s="1"/>
      <c r="I12" s="127"/>
      <c r="J12" s="1"/>
      <c r="K12" s="71" t="s">
        <v>12</v>
      </c>
      <c r="L12" s="1"/>
      <c r="M12" s="1"/>
      <c r="N12" s="21">
        <v>0.05</v>
      </c>
      <c r="O12" s="14"/>
      <c r="P12" s="9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 x14ac:dyDescent="0.3">
      <c r="A13" s="7"/>
      <c r="B13" s="107" t="s">
        <v>21</v>
      </c>
      <c r="C13" s="106"/>
      <c r="D13" s="106"/>
      <c r="E13" s="106"/>
      <c r="F13" s="114">
        <f>IF(F10="weekly",F12*52/12,IF(F10="biweekly",F12*26/12,IF(F10="bimonthly",F12*2,IF(F10="annual",F12/12,IF(F10="ytd",F12/DAYS360(DATE(YEAR(F11),1,1),F11)*30,IF(F10="monthly",F12,0))))))</f>
        <v>0</v>
      </c>
      <c r="G13" s="1"/>
      <c r="H13" s="1"/>
      <c r="I13" s="127"/>
      <c r="J13" s="1"/>
      <c r="K13" s="73" t="s">
        <v>14</v>
      </c>
      <c r="L13" s="1"/>
      <c r="M13" s="1"/>
      <c r="N13" s="130" t="s">
        <v>15</v>
      </c>
      <c r="O13" s="14"/>
      <c r="P13" s="9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 x14ac:dyDescent="0.3">
      <c r="A14" s="7"/>
      <c r="B14" s="105" t="s">
        <v>22</v>
      </c>
      <c r="C14" s="1"/>
      <c r="D14" s="1"/>
      <c r="E14" s="1"/>
      <c r="F14" s="108">
        <v>0</v>
      </c>
      <c r="G14" s="1"/>
      <c r="H14" s="1"/>
      <c r="I14" s="127"/>
      <c r="J14" s="1"/>
      <c r="K14" s="137" t="str">
        <f>VLOOKUP(RateType,RateTable,2,FALSE)</f>
        <v/>
      </c>
      <c r="L14" s="137"/>
      <c r="M14" s="137"/>
      <c r="N14" s="143">
        <v>0.13</v>
      </c>
      <c r="O14" s="14"/>
      <c r="P14" s="9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 x14ac:dyDescent="0.3">
      <c r="A15" s="7"/>
      <c r="B15" s="73" t="s">
        <v>24</v>
      </c>
      <c r="C15" s="2"/>
      <c r="D15" s="2"/>
      <c r="E15" s="2"/>
      <c r="F15" s="108">
        <v>1291</v>
      </c>
      <c r="G15" s="1"/>
      <c r="H15" s="1"/>
      <c r="I15" s="127"/>
      <c r="J15" s="1"/>
      <c r="K15" s="71" t="s">
        <v>18</v>
      </c>
      <c r="L15" s="1"/>
      <c r="M15" s="1"/>
      <c r="N15" s="19">
        <v>42036</v>
      </c>
      <c r="O15" s="4"/>
      <c r="P15" s="9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 x14ac:dyDescent="0.25">
      <c r="A16" s="7"/>
      <c r="B16" s="105" t="s">
        <v>26</v>
      </c>
      <c r="F16" s="108">
        <v>1300</v>
      </c>
      <c r="I16" s="127"/>
      <c r="J16" s="1"/>
      <c r="K16" s="138" t="s">
        <v>20</v>
      </c>
      <c r="L16" s="138"/>
      <c r="M16" s="138"/>
      <c r="N16" s="139">
        <v>0</v>
      </c>
      <c r="O16" s="4"/>
      <c r="P16" s="94"/>
      <c r="Q16" s="89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 x14ac:dyDescent="0.25">
      <c r="A17" s="7"/>
      <c r="F17" s="27">
        <f>F16*1.25</f>
        <v>1625</v>
      </c>
      <c r="G17" s="71" t="s">
        <v>28</v>
      </c>
      <c r="H17" s="1"/>
      <c r="I17" s="127"/>
      <c r="J17" s="1"/>
      <c r="K17" s="137" t="str">
        <f>IF(N13="Fixed Rate","","Monthly P&amp;I Payment")</f>
        <v/>
      </c>
      <c r="L17" s="137"/>
      <c r="M17" s="137"/>
      <c r="N17" s="140">
        <v>2409</v>
      </c>
      <c r="O17" s="4"/>
      <c r="P17" s="9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 x14ac:dyDescent="0.25">
      <c r="A18" s="7"/>
      <c r="B18" s="1" t="s">
        <v>30</v>
      </c>
      <c r="C18" s="1"/>
      <c r="D18" s="1"/>
      <c r="E18" s="1"/>
      <c r="F18" s="29"/>
      <c r="G18" s="1"/>
      <c r="H18" s="1"/>
      <c r="I18" s="127"/>
      <c r="J18" s="1"/>
      <c r="K18" s="71" t="s">
        <v>23</v>
      </c>
      <c r="N18" s="108">
        <v>238</v>
      </c>
      <c r="O18" s="1"/>
      <c r="P18" s="9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 x14ac:dyDescent="0.25">
      <c r="A19" s="7"/>
      <c r="B19" s="1"/>
      <c r="C19" s="73" t="s">
        <v>32</v>
      </c>
      <c r="D19" s="73"/>
      <c r="E19" s="1"/>
      <c r="F19" s="74">
        <v>500</v>
      </c>
      <c r="H19" s="1"/>
      <c r="I19" s="127"/>
      <c r="J19" s="1"/>
      <c r="K19" s="71" t="s">
        <v>25</v>
      </c>
      <c r="N19" s="108">
        <v>79</v>
      </c>
      <c r="O19" s="4"/>
      <c r="P19" s="9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 x14ac:dyDescent="0.25">
      <c r="A20" s="7"/>
      <c r="B20" s="1"/>
      <c r="C20" s="1"/>
      <c r="D20" s="1"/>
      <c r="E20" s="1"/>
      <c r="F20" s="27">
        <f>F19*0.75</f>
        <v>375</v>
      </c>
      <c r="G20" s="73" t="s">
        <v>33</v>
      </c>
      <c r="H20" s="1"/>
      <c r="I20" s="127"/>
      <c r="J20" s="1"/>
      <c r="K20" s="71" t="s">
        <v>27</v>
      </c>
      <c r="N20" s="108">
        <v>0</v>
      </c>
      <c r="O20" s="4"/>
      <c r="P20" s="9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 x14ac:dyDescent="0.3">
      <c r="A21" s="7"/>
      <c r="B21" s="1"/>
      <c r="C21" s="105" t="s">
        <v>34</v>
      </c>
      <c r="D21" s="105"/>
      <c r="E21" s="1"/>
      <c r="F21" s="108"/>
      <c r="H21" s="1"/>
      <c r="I21" s="127"/>
      <c r="J21" s="1"/>
      <c r="K21" s="234" t="s">
        <v>29</v>
      </c>
      <c r="L21" s="234"/>
      <c r="M21" s="234"/>
      <c r="N21" s="234"/>
      <c r="O21" s="10"/>
      <c r="P21" s="94"/>
      <c r="Q21" s="88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 x14ac:dyDescent="0.3">
      <c r="A22" s="7"/>
      <c r="B22" s="1"/>
      <c r="C22" s="1"/>
      <c r="D22" s="1"/>
      <c r="E22" s="1"/>
      <c r="F22" s="27">
        <f>F21*0.75</f>
        <v>0</v>
      </c>
      <c r="G22" s="73" t="s">
        <v>33</v>
      </c>
      <c r="H22" s="1"/>
      <c r="I22" s="127"/>
      <c r="J22" s="1"/>
      <c r="K22" s="71" t="s">
        <v>31</v>
      </c>
      <c r="N22" s="34" t="s">
        <v>111</v>
      </c>
      <c r="O22" s="10"/>
      <c r="P22" s="94"/>
      <c r="Q22" s="88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 x14ac:dyDescent="0.3">
      <c r="A23" s="7"/>
      <c r="B23" s="1"/>
      <c r="E23" s="72" t="str">
        <f>IF(F21&gt;0,"PITIA on Rental","")</f>
        <v/>
      </c>
      <c r="F23" s="108"/>
      <c r="G23" s="1"/>
      <c r="H23" s="1"/>
      <c r="I23" s="127"/>
      <c r="J23" s="1"/>
      <c r="K23" s="212" t="str">
        <f>IF(infotype=1,IF(N13="Other","Cannot Calculate Using Default Date Only","Estimate Arrears and UPB at Default:"),IF(N16&gt;0,"Enter Interest Bearing UPB at Default:","Enter UPB at Default:"))</f>
        <v>Enter UPB at Default:</v>
      </c>
      <c r="N23" s="35">
        <v>160000</v>
      </c>
      <c r="O23" s="10"/>
      <c r="P23" s="94"/>
      <c r="Q23" s="89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 x14ac:dyDescent="0.3">
      <c r="A24" s="7"/>
      <c r="B24" s="1"/>
      <c r="C24" s="1"/>
      <c r="D24" s="1"/>
      <c r="E24" s="1"/>
      <c r="F24" s="27">
        <f>F22-F23</f>
        <v>0</v>
      </c>
      <c r="G24" s="73" t="s">
        <v>110</v>
      </c>
      <c r="H24" s="1"/>
      <c r="I24" s="127"/>
      <c r="J24" s="1"/>
      <c r="K24" s="212" t="str">
        <f>IF(infotype=2,"Estimate Arrears:",IF(infotype=3,"Enter Amount of Arrears:",""))</f>
        <v>Estimate Arrears:</v>
      </c>
      <c r="N24" s="35">
        <v>83374.41</v>
      </c>
      <c r="O24" s="10"/>
      <c r="P24" s="94"/>
      <c r="Q24" s="88"/>
      <c r="R24" s="88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 x14ac:dyDescent="0.3">
      <c r="A25" s="7"/>
      <c r="B25" s="1"/>
      <c r="C25" s="1"/>
      <c r="D25" s="1"/>
      <c r="E25" s="1"/>
      <c r="F25" s="29"/>
      <c r="H25" s="8"/>
      <c r="I25" s="127"/>
      <c r="J25" s="1"/>
      <c r="K25" s="71" t="s">
        <v>35</v>
      </c>
      <c r="L25" s="1"/>
      <c r="M25" s="1"/>
      <c r="N25" s="19">
        <v>43983</v>
      </c>
      <c r="O25" s="10"/>
      <c r="P25" s="9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 x14ac:dyDescent="0.25">
      <c r="A26" s="7"/>
      <c r="B26" s="1" t="s">
        <v>36</v>
      </c>
      <c r="C26" s="1"/>
      <c r="D26" s="1"/>
      <c r="E26" s="1"/>
      <c r="F26" s="27">
        <f>F20+F15+F13+F14+F17</f>
        <v>3291</v>
      </c>
      <c r="G26" s="1"/>
      <c r="H26" s="1"/>
      <c r="I26" s="127"/>
      <c r="J26" s="1"/>
      <c r="K26" s="71" t="str">
        <f>IF(infotype=3,"","Today's Date")</f>
        <v>Today's Date</v>
      </c>
      <c r="L26" s="1"/>
      <c r="M26" s="1"/>
      <c r="N26" s="92">
        <f ca="1">TODAY()</f>
        <v>44475</v>
      </c>
      <c r="O26" s="4"/>
      <c r="P26" s="94"/>
      <c r="Q26" s="89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 x14ac:dyDescent="0.25">
      <c r="A27" s="7"/>
      <c r="F27" s="28"/>
      <c r="H27" s="1"/>
      <c r="I27" s="128"/>
      <c r="J27" s="1"/>
      <c r="K27" s="105" t="str">
        <f>IF(infotype=3,"","Total Months in Default")</f>
        <v>Total Months in Default</v>
      </c>
      <c r="L27" s="4"/>
      <c r="M27" s="4"/>
      <c r="N27" s="20">
        <f ca="1">ROUNDUP((DAYS360(N25,N26))/30,0)</f>
        <v>17</v>
      </c>
      <c r="O27" s="4"/>
      <c r="P27" s="94"/>
      <c r="Q27" s="90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 x14ac:dyDescent="0.3">
      <c r="A28" s="7"/>
      <c r="B28" s="2" t="s">
        <v>37</v>
      </c>
      <c r="C28" s="2"/>
      <c r="D28" s="2"/>
      <c r="E28" s="2"/>
      <c r="F28" s="30"/>
      <c r="G28" s="9"/>
      <c r="H28" s="1"/>
      <c r="I28" s="127"/>
      <c r="J28" s="1"/>
      <c r="K28" s="105" t="str">
        <f>IF(infotype=3,"",IF(infotype=2,IF(N16&gt;0,"Interest Bearing UPB at Default","UPB at Default"),IF(infotype=1,"Est UPB at Default",0)))</f>
        <v>UPB at Default</v>
      </c>
      <c r="L28" s="4"/>
      <c r="M28" s="4"/>
      <c r="N28" s="26">
        <f>IF(infotype=1,-PV(N12/12,N11-ROUNDUP((N25-N15)/30,0),'COVID Flex'!E13),N23)</f>
        <v>160000</v>
      </c>
      <c r="O28" s="4"/>
      <c r="P28" s="94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 x14ac:dyDescent="0.25">
      <c r="A29" s="7"/>
      <c r="B29" s="107" t="s">
        <v>16</v>
      </c>
      <c r="C29" s="106"/>
      <c r="D29" s="106"/>
      <c r="E29" s="106"/>
      <c r="F29" s="112"/>
      <c r="H29" s="1"/>
      <c r="I29" s="127"/>
      <c r="J29" s="1"/>
      <c r="K29" s="105" t="str">
        <f>IF(infotype=3,"","Taxes in Arrears")</f>
        <v>Taxes in Arrears</v>
      </c>
      <c r="N29" s="26">
        <f ca="1">N18*N27</f>
        <v>4046</v>
      </c>
      <c r="O29" s="4"/>
      <c r="P29" s="9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 x14ac:dyDescent="0.25">
      <c r="A30" s="7"/>
      <c r="B30" s="107" t="str">
        <f>IF($F$29="YTD","Enter Date of YTD","")</f>
        <v/>
      </c>
      <c r="C30" s="106"/>
      <c r="D30" s="106"/>
      <c r="E30" s="106"/>
      <c r="F30" s="113">
        <v>41197</v>
      </c>
      <c r="H30" s="1"/>
      <c r="I30" s="127"/>
      <c r="J30" s="1"/>
      <c r="K30" s="105" t="str">
        <f>IF(infotype=3,"","Insurance Arrears")</f>
        <v>Insurance Arrears</v>
      </c>
      <c r="N30" s="26">
        <f ca="1">N19*N27</f>
        <v>1343</v>
      </c>
      <c r="O30" s="4"/>
      <c r="P30" s="9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x14ac:dyDescent="0.25">
      <c r="A31" s="7"/>
      <c r="B31" s="106" t="s">
        <v>19</v>
      </c>
      <c r="C31" s="106"/>
      <c r="D31" s="106"/>
      <c r="E31" s="106"/>
      <c r="F31" s="109">
        <v>0</v>
      </c>
      <c r="H31" s="1"/>
      <c r="I31" s="127"/>
      <c r="J31" s="1"/>
      <c r="K31" s="71" t="str">
        <f>IF(infotype=3,"","Association Fee Arrears")</f>
        <v>Association Fee Arrears</v>
      </c>
      <c r="N31" s="26">
        <f ca="1">N20*N27</f>
        <v>0</v>
      </c>
      <c r="O31" s="4"/>
      <c r="P31" s="9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 x14ac:dyDescent="0.25">
      <c r="A32" s="7"/>
      <c r="B32" s="107" t="s">
        <v>21</v>
      </c>
      <c r="C32" s="106"/>
      <c r="D32" s="106"/>
      <c r="E32" s="106"/>
      <c r="F32" s="114">
        <f>IF(F29="weekly",F31*52/12,IF(F29="biweekly",F31*26/12,IF(F29="bimonthly",F31*2,IF(F29="annual",F31/12,IF(F29="ytd",F31/DAYS360(DATE(YEAR(F30),1,1),F30)*30,IF(F29="monthly",F31,0))))))</f>
        <v>0</v>
      </c>
      <c r="G32" s="1"/>
      <c r="H32" s="1"/>
      <c r="I32" s="127"/>
      <c r="J32" s="1"/>
      <c r="K32" s="105" t="str">
        <f>IF(infotype=3,"","Interest Arrears")</f>
        <v>Interest Arrears</v>
      </c>
      <c r="M32" s="91"/>
      <c r="N32" s="26">
        <f ca="1">N27*ROUND(N12/12*N28,2)+(DAY(N26)-DAY(N25))*ROUND(N12/365*N28,4)</f>
        <v>11442.978999999999</v>
      </c>
      <c r="O32" s="4"/>
      <c r="P32" s="9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 x14ac:dyDescent="0.3">
      <c r="A33" s="7"/>
      <c r="B33" s="73" t="s">
        <v>24</v>
      </c>
      <c r="C33" s="2"/>
      <c r="D33" s="2"/>
      <c r="E33" s="2"/>
      <c r="F33" s="108">
        <v>0</v>
      </c>
      <c r="G33" s="1"/>
      <c r="H33" s="1"/>
      <c r="I33" s="127"/>
      <c r="J33" s="1"/>
      <c r="K33" s="105" t="s">
        <v>38</v>
      </c>
      <c r="M33" s="91"/>
      <c r="N33" s="26">
        <f>'COVID Flex'!E18</f>
        <v>1256.4376840698001</v>
      </c>
      <c r="O33" s="4"/>
      <c r="P33" s="9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 thickBot="1" x14ac:dyDescent="0.3">
      <c r="A34" s="7"/>
      <c r="B34" s="105" t="s">
        <v>26</v>
      </c>
      <c r="F34" s="108">
        <v>0</v>
      </c>
      <c r="I34" s="127"/>
      <c r="J34" s="1"/>
      <c r="K34" s="4" t="str">
        <f>IF(infotype=3,"","Allowable Fees &amp; Costs")</f>
        <v>Allowable Fees &amp; Costs</v>
      </c>
      <c r="L34" s="4"/>
      <c r="M34" s="4"/>
      <c r="N34" s="22">
        <v>5000</v>
      </c>
      <c r="O34" s="4"/>
      <c r="P34" s="9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 thickBot="1" x14ac:dyDescent="0.35">
      <c r="A35" s="7"/>
      <c r="F35" s="110">
        <f>F34*1.25</f>
        <v>0</v>
      </c>
      <c r="G35" s="71" t="s">
        <v>28</v>
      </c>
      <c r="H35" s="1"/>
      <c r="I35" s="127"/>
      <c r="J35" s="1"/>
      <c r="K35" s="10" t="str">
        <f>IF(infotype=3,"",IF(N16&gt;0,"Total Eligible Arrears and Forbearance","Total Eligible Arrears"))</f>
        <v>Total Eligible Arrears</v>
      </c>
      <c r="L35" s="4"/>
      <c r="M35" s="4"/>
      <c r="N35" s="33">
        <f ca="1">IF(infotype=3,N24,SUM(N29:N34)+N16)</f>
        <v>23088.416684069798</v>
      </c>
      <c r="O35" s="4"/>
      <c r="P35" s="9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x14ac:dyDescent="0.25">
      <c r="A36" s="7"/>
      <c r="F36" s="111"/>
      <c r="G36" s="71"/>
      <c r="H36" s="1"/>
      <c r="I36" s="127"/>
      <c r="J36" s="1"/>
      <c r="K36" s="15"/>
      <c r="L36" s="4"/>
      <c r="M36" s="4"/>
      <c r="N36" s="4"/>
      <c r="O36" s="4"/>
      <c r="P36" s="9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 x14ac:dyDescent="0.3">
      <c r="A37" s="7"/>
      <c r="B37" s="1" t="s">
        <v>36</v>
      </c>
      <c r="C37" s="1"/>
      <c r="D37" s="1"/>
      <c r="E37" s="1"/>
      <c r="F37" s="104">
        <f>SUM(F32,F33,F35)</f>
        <v>0</v>
      </c>
      <c r="G37" s="1"/>
      <c r="H37" s="1"/>
      <c r="I37" s="127"/>
      <c r="J37" s="1"/>
      <c r="K37" s="234"/>
      <c r="L37" s="234"/>
      <c r="M37" s="234"/>
      <c r="N37" s="234"/>
      <c r="O37" s="4"/>
      <c r="P37" s="94"/>
      <c r="Q37" s="3"/>
      <c r="R37" s="88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 thickBot="1" x14ac:dyDescent="0.3">
      <c r="A38" s="7"/>
      <c r="B38" s="1"/>
      <c r="C38" s="1"/>
      <c r="D38" s="1"/>
      <c r="E38" s="1"/>
      <c r="F38" s="31"/>
      <c r="G38" s="1"/>
      <c r="H38" s="1"/>
      <c r="I38" s="127"/>
      <c r="J38" s="1"/>
      <c r="K38" s="230"/>
      <c r="L38" s="231"/>
      <c r="M38" s="232"/>
      <c r="N38" s="160"/>
      <c r="O38" s="4"/>
      <c r="P38" s="94"/>
      <c r="Q38" s="3"/>
      <c r="R38" s="88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 thickTop="1" thickBot="1" x14ac:dyDescent="0.35">
      <c r="A39" s="7"/>
      <c r="B39" s="2" t="s">
        <v>39</v>
      </c>
      <c r="C39" s="1"/>
      <c r="D39" s="1"/>
      <c r="E39" s="17"/>
      <c r="F39" s="132">
        <f>F26+F37</f>
        <v>3291</v>
      </c>
      <c r="G39" s="18"/>
      <c r="H39" s="1"/>
      <c r="I39" s="213"/>
      <c r="J39" s="1"/>
      <c r="K39" s="1"/>
      <c r="L39" s="2"/>
      <c r="M39" s="2"/>
      <c r="N39" s="2"/>
      <c r="O39" s="4"/>
      <c r="P39" s="9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 thickTop="1" x14ac:dyDescent="0.3">
      <c r="A40" s="7"/>
      <c r="B40" s="2"/>
      <c r="C40" s="1"/>
      <c r="D40" s="1"/>
      <c r="E40" s="1"/>
      <c r="F40" s="133"/>
      <c r="G40" s="11"/>
      <c r="H40" s="1"/>
      <c r="I40" s="127"/>
      <c r="J40" s="1"/>
      <c r="K40" s="16"/>
      <c r="L40" s="1"/>
      <c r="M40" s="1"/>
      <c r="N40" s="67"/>
      <c r="O40" s="4"/>
      <c r="P40" s="9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 x14ac:dyDescent="0.3">
      <c r="A41" s="126"/>
      <c r="B41" s="79"/>
      <c r="C41" s="12"/>
      <c r="D41" s="12"/>
      <c r="E41" s="12"/>
      <c r="F41" s="80"/>
      <c r="G41" s="81"/>
      <c r="H41" s="12"/>
      <c r="I41" s="127"/>
      <c r="J41" s="12"/>
      <c r="K41" s="79"/>
      <c r="L41" s="84"/>
      <c r="M41" s="12"/>
      <c r="N41" s="82"/>
      <c r="O41" s="83" t="s">
        <v>82</v>
      </c>
      <c r="P41" s="9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x14ac:dyDescent="0.25">
      <c r="A42" s="1"/>
      <c r="B42" s="1"/>
      <c r="C42" s="1"/>
      <c r="D42" s="1"/>
      <c r="E42" s="1"/>
      <c r="F42" s="1"/>
      <c r="G42" s="1"/>
      <c r="H42" s="1"/>
      <c r="I42" s="4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x14ac:dyDescent="0.25">
      <c r="A43" s="1"/>
      <c r="B43" s="1"/>
      <c r="C43" s="1"/>
      <c r="D43" s="1"/>
      <c r="E43" s="1"/>
      <c r="F43" s="1"/>
      <c r="G43" s="1"/>
      <c r="H43" s="1"/>
      <c r="I43" s="4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25">
      <c r="A44" s="1"/>
      <c r="B44" s="1"/>
      <c r="C44" s="1"/>
      <c r="D44" s="1"/>
      <c r="E44" s="1"/>
      <c r="F44" s="1"/>
      <c r="G44" s="1"/>
      <c r="H44" s="1"/>
      <c r="I44" s="4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25">
      <c r="B45" s="1"/>
      <c r="C45" s="1"/>
      <c r="D45" s="1"/>
      <c r="E45" s="1"/>
      <c r="F45" s="1"/>
      <c r="G45" s="1"/>
      <c r="H45" s="4"/>
      <c r="I45" s="4"/>
      <c r="J45" s="4"/>
      <c r="K45" s="1"/>
      <c r="L45" s="1"/>
      <c r="M45" s="1"/>
      <c r="N45" s="1"/>
      <c r="O45" s="1"/>
      <c r="P45" s="1"/>
      <c r="Q45" s="1"/>
    </row>
    <row r="46" spans="1:27" x14ac:dyDescent="0.25">
      <c r="H46" s="3"/>
      <c r="I46" s="3"/>
      <c r="J46" s="3"/>
      <c r="Q46" s="1"/>
    </row>
    <row r="47" spans="1:27" x14ac:dyDescent="0.25">
      <c r="H47" s="3"/>
      <c r="I47" s="3"/>
      <c r="J47" s="3"/>
      <c r="Q47" s="1"/>
    </row>
    <row r="48" spans="1:27" x14ac:dyDescent="0.25">
      <c r="H48" s="3"/>
      <c r="I48" s="3"/>
      <c r="J48" s="3"/>
      <c r="Q48" s="1"/>
    </row>
    <row r="49" spans="8:10" x14ac:dyDescent="0.25">
      <c r="H49" s="3"/>
      <c r="I49" s="3"/>
      <c r="J49" s="3"/>
    </row>
  </sheetData>
  <customSheetViews>
    <customSheetView guid="{0367687A-2E80-4414-9E57-D64905950517}" showGridLines="0">
      <selection activeCell="F16" sqref="F16"/>
    </customSheetView>
  </customSheetViews>
  <mergeCells count="9">
    <mergeCell ref="K3:N3"/>
    <mergeCell ref="A1:P1"/>
    <mergeCell ref="E3:F3"/>
    <mergeCell ref="K38:M38"/>
    <mergeCell ref="K6:M6"/>
    <mergeCell ref="J9:P9"/>
    <mergeCell ref="K21:N21"/>
    <mergeCell ref="K37:N37"/>
    <mergeCell ref="B7:F7"/>
  </mergeCells>
  <phoneticPr fontId="2" type="noConversion"/>
  <conditionalFormatting sqref="N23">
    <cfRule type="expression" dxfId="31" priority="116">
      <formula>IF(infotype=1,1,0)</formula>
    </cfRule>
  </conditionalFormatting>
  <conditionalFormatting sqref="N26:N35">
    <cfRule type="expression" dxfId="30" priority="35">
      <formula>IF(infotype=3,1,0)</formula>
    </cfRule>
  </conditionalFormatting>
  <conditionalFormatting sqref="G17:G32 G36">
    <cfRule type="expression" dxfId="29" priority="34">
      <formula>IF(AND(F16=0,F17=0),1,0)</formula>
    </cfRule>
  </conditionalFormatting>
  <conditionalFormatting sqref="F23">
    <cfRule type="expression" dxfId="28" priority="31">
      <formula>IF(Rental="Yes",1,0)</formula>
    </cfRule>
  </conditionalFormatting>
  <conditionalFormatting sqref="G16 G33:G34">
    <cfRule type="expression" dxfId="27" priority="75">
      <formula>IF(AND(#REF!=0,F16=0),1,0)</formula>
    </cfRule>
  </conditionalFormatting>
  <conditionalFormatting sqref="G35">
    <cfRule type="expression" dxfId="26" priority="23">
      <formula>IF(AND(F34=0,F35=0),1,0)</formula>
    </cfRule>
  </conditionalFormatting>
  <conditionalFormatting sqref="G34">
    <cfRule type="expression" dxfId="25" priority="21">
      <formula>IF(AND(#REF!=0,F34=0),1,0)</formula>
    </cfRule>
  </conditionalFormatting>
  <conditionalFormatting sqref="F11">
    <cfRule type="expression" dxfId="24" priority="20">
      <formula>IF($F$10="YTD",0,1)</formula>
    </cfRule>
  </conditionalFormatting>
  <conditionalFormatting sqref="F30">
    <cfRule type="expression" dxfId="23" priority="19">
      <formula>IF($F$29="YTD",0,1)</formula>
    </cfRule>
  </conditionalFormatting>
  <conditionalFormatting sqref="N6">
    <cfRule type="expression" dxfId="22" priority="18">
      <formula>IF(Owner=3,1,0)</formula>
    </cfRule>
  </conditionalFormatting>
  <conditionalFormatting sqref="K24">
    <cfRule type="expression" dxfId="21" priority="6">
      <formula>IF(infotype=2,1,0)</formula>
    </cfRule>
  </conditionalFormatting>
  <conditionalFormatting sqref="N24">
    <cfRule type="expression" dxfId="20" priority="4">
      <formula>IF(infotype=1,1,0)</formula>
    </cfRule>
    <cfRule type="expression" dxfId="19" priority="5">
      <formula>IF(infotype=2,1,0)</formula>
    </cfRule>
  </conditionalFormatting>
  <conditionalFormatting sqref="N23:N24 K25:N33">
    <cfRule type="expression" dxfId="18" priority="129" stopIfTrue="1">
      <formula>IF(AND(infotype=1,$N$13="Other"),1,0)</formula>
    </cfRule>
  </conditionalFormatting>
  <conditionalFormatting sqref="K23">
    <cfRule type="expression" dxfId="17" priority="144">
      <formula>IF(AND(infotype=1,$N$13="Other"),1,0)</formula>
    </cfRule>
    <cfRule type="expression" dxfId="16" priority="145">
      <formula>IF(infotype=1,1,0)</formula>
    </cfRule>
  </conditionalFormatting>
  <conditionalFormatting sqref="N17">
    <cfRule type="expression" dxfId="15" priority="3">
      <formula>IF(N13="Fixed Rate",1,0)</formula>
    </cfRule>
  </conditionalFormatting>
  <conditionalFormatting sqref="N14">
    <cfRule type="expression" dxfId="14" priority="2">
      <formula>IF($N$13="Fixed Rate",1,0)</formula>
    </cfRule>
  </conditionalFormatting>
  <conditionalFormatting sqref="B7:G39">
    <cfRule type="expression" dxfId="13" priority="1" stopIfTrue="1">
      <formula>IF($N$27&gt;3,1,0)</formula>
    </cfRule>
  </conditionalFormatting>
  <conditionalFormatting sqref="L40:O40">
    <cfRule type="expression" dxfId="12" priority="146">
      <formula>IF(#REF!="NO",1,0)</formula>
    </cfRule>
  </conditionalFormatting>
  <dataValidations xWindow="982" yWindow="522" count="13">
    <dataValidation type="list" allowBlank="1" showInputMessage="1" showErrorMessage="1" sqref="N22" xr:uid="{00000000-0002-0000-0000-000000000000}">
      <formula1>"Capitalized UPB, UPB at Default, Only Default Date"</formula1>
    </dataValidation>
    <dataValidation allowBlank="1" showErrorMessage="1" promptTitle="Default Date" prompt="Enter the date of the first missed payment." sqref="K25" xr:uid="{00000000-0002-0000-0000-000001000000}"/>
    <dataValidation allowBlank="1" showInputMessage="1" showErrorMessage="1" promptTitle="Monthly P&amp;I" prompt="Enter the amount of monthly principal and interest currently due on the loan - not the initial amount or amount that borrower last paid." sqref="N17" xr:uid="{00000000-0002-0000-0000-000002000000}"/>
    <dataValidation type="list" allowBlank="1" showInputMessage="1" showErrorMessage="1" promptTitle="Rate Type" prompt="Fixed Rate - rate does not change_x000a_Adjustable Rate - rate is tied to a fluctuating index_x000a_Step Rate - rate adjusts, but is not tied to an index (e.g. HAMP mods)" sqref="N13" xr:uid="{00000000-0002-0000-0000-000003000000}">
      <formula1>"Fixed Rate, Adjustable Rate, Step Rate"</formula1>
    </dataValidation>
    <dataValidation allowBlank="1" showInputMessage="1" showErrorMessage="1" promptTitle="Date of First Payment" prompt="Enter the date on which the first payment was due.  This is different than the origination date." sqref="K15" xr:uid="{00000000-0002-0000-0000-000004000000}"/>
    <dataValidation allowBlank="1" showInputMessage="1" showErrorMessage="1" promptTitle="Monthly Fixed Income" prompt="Fixed income provided on a monthly basis._x000a__x000a_Examples include SSA, SSD and pension payments." sqref="B33 F33 F15 B15" xr:uid="{00000000-0002-0000-0000-000005000000}"/>
    <dataValidation allowBlank="1" showInputMessage="1" showErrorMessage="1" promptTitle="Monthly Untaxed Income" prompt="Income that is not subject to federal income tax._x000a__x000a_Examples include SSI, SNAP, VA benefits and adoption assistance payments." sqref="B34 F34 F16 B16" xr:uid="{00000000-0002-0000-0000-000006000000}"/>
    <dataValidation allowBlank="1" showInputMessage="1" showErrorMessage="1" promptTitle="Monthly Contribution" prompt="Money provided on a monthly basis to the mortgage by a non-borrower occupant." sqref="B14 F14" xr:uid="{00000000-0002-0000-0000-000008000000}"/>
    <dataValidation type="list" allowBlank="1" showInputMessage="1" showErrorMessage="1" sqref="F10 F29" xr:uid="{00000000-0002-0000-0000-000009000000}">
      <formula1>"Weekly, Biweekly, Bimonthly, Monthly, Annual, YTD"</formula1>
    </dataValidation>
    <dataValidation type="list" allowBlank="1" showInputMessage="1" showErrorMessage="1" sqref="N5" xr:uid="{00000000-0002-0000-0000-00000A000000}">
      <formula1>"Fannie Mae, Freddie Mac"</formula1>
    </dataValidation>
    <dataValidation allowBlank="1" showErrorMessage="1" sqref="N14" xr:uid="{00000000-0002-0000-0000-00000B000000}"/>
    <dataValidation allowBlank="1" showInputMessage="1" showErrorMessage="1" promptTitle="Forbearance" prompt="Enter the amount of non-interest-bearing principal forbearance." sqref="N16" xr:uid="{00000000-0002-0000-0000-00000C000000}"/>
    <dataValidation type="date" allowBlank="1" showErrorMessage="1" errorTitle="Improper Date" error="Default Date cell must contain a valid date after the first payment is due, but before today." promptTitle="Default Date" prompt="Enter the date of default" sqref="N25" xr:uid="{00000000-0002-0000-0000-00000D000000}">
      <formula1>N15</formula1>
      <formula2>N26</formula2>
    </dataValidation>
  </dataValidations>
  <pageMargins left="0.75" right="0.75" top="1" bottom="1" header="0.5" footer="0.5"/>
  <pageSetup scale="82" orientation="landscape" r:id="rId1"/>
  <headerFooter alignWithMargins="0">
    <oddHeader>&amp;L&amp;14&amp;F&amp;10
Run on: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1CEB-49ED-43D8-960C-B7790AC8D17F}">
  <sheetPr>
    <tabColor rgb="FF0000FF"/>
    <pageSetUpPr autoPageBreaks="0"/>
  </sheetPr>
  <dimension ref="A1:V43"/>
  <sheetViews>
    <sheetView showGridLines="0" topLeftCell="A4" zoomScaleNormal="100" workbookViewId="0">
      <selection activeCell="A43" sqref="A43"/>
    </sheetView>
  </sheetViews>
  <sheetFormatPr defaultColWidth="9.1796875" defaultRowHeight="12.5" x14ac:dyDescent="0.25"/>
  <cols>
    <col min="1" max="1" width="3" style="39" customWidth="1"/>
    <col min="2" max="3" width="9.1796875" style="39"/>
    <col min="4" max="4" width="12.7265625" style="39" customWidth="1"/>
    <col min="5" max="5" width="15.453125" style="39" customWidth="1"/>
    <col min="6" max="6" width="8.81640625" style="39" customWidth="1"/>
    <col min="7" max="7" width="10" style="39" customWidth="1"/>
    <col min="8" max="8" width="4.453125" style="39" customWidth="1"/>
    <col min="9" max="9" width="6.453125" style="39" customWidth="1"/>
    <col min="10" max="10" width="6.26953125" style="39" customWidth="1"/>
    <col min="11" max="11" width="12.81640625" style="39" customWidth="1"/>
    <col min="12" max="12" width="7.453125" style="39" customWidth="1"/>
    <col min="13" max="13" width="3.1796875" style="39" customWidth="1"/>
    <col min="14" max="14" width="4.7265625" style="39" customWidth="1"/>
    <col min="15" max="15" width="10.453125" style="39" customWidth="1"/>
    <col min="16" max="16" width="17.7265625" style="39" customWidth="1"/>
    <col min="17" max="17" width="2.1796875" style="39" customWidth="1"/>
    <col min="18" max="18" width="2.7265625" style="78" customWidth="1"/>
    <col min="19" max="19" width="9.1796875" style="39"/>
    <col min="20" max="20" width="9.7265625" style="39" bestFit="1" customWidth="1"/>
    <col min="21" max="21" width="11.54296875" style="39" bestFit="1" customWidth="1"/>
    <col min="22" max="22" width="10.26953125" style="39" bestFit="1" customWidth="1"/>
    <col min="23" max="16384" width="9.1796875" style="39"/>
  </cols>
  <sheetData>
    <row r="1" spans="1:18" ht="17.5" x14ac:dyDescent="0.35">
      <c r="A1" s="241" t="str">
        <f>IF(Owner=1,"FANNIE MAE FLEX MODIFICATION","FREDDIE MAC FLEX MODIFICATION")</f>
        <v>FANNIE MAE FLEX MODIFICATION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18" x14ac:dyDescent="0.25">
      <c r="A2" s="36"/>
      <c r="B2" s="77" t="str">
        <f>IF(Q43="MFY's Proprietary Waterfall Worksheet for HAMP Tiers 1 and 2","","MFY's Proprietary Waterfall Worksheet for HAMP Tiers 1 and 2")</f>
        <v>MFY's Proprietary Waterfall Worksheet for HAMP Tiers 1 and 2</v>
      </c>
      <c r="C2" s="37"/>
      <c r="D2" s="37"/>
      <c r="E2" s="37"/>
      <c r="F2" s="37"/>
      <c r="G2" s="37"/>
      <c r="H2" s="38"/>
      <c r="I2" s="37"/>
      <c r="J2" s="37"/>
      <c r="K2" s="37"/>
      <c r="L2" s="37"/>
      <c r="M2" s="37"/>
      <c r="N2" s="37"/>
      <c r="O2" s="37"/>
      <c r="P2" s="37"/>
      <c r="Q2" s="37"/>
      <c r="R2" s="103"/>
    </row>
    <row r="3" spans="1:18" ht="12.75" customHeight="1" x14ac:dyDescent="0.25">
      <c r="A3" s="40"/>
      <c r="B3" s="41"/>
      <c r="C3" s="42"/>
      <c r="D3" s="43"/>
      <c r="E3" s="42"/>
      <c r="F3" s="42"/>
      <c r="G3" s="42"/>
      <c r="H3" s="44"/>
      <c r="I3" s="238" t="s">
        <v>41</v>
      </c>
      <c r="J3" s="239"/>
      <c r="K3" s="239"/>
      <c r="L3" s="239"/>
      <c r="M3" s="239"/>
      <c r="N3" s="239"/>
      <c r="O3" s="239"/>
      <c r="P3" s="239"/>
      <c r="Q3" s="239"/>
      <c r="R3" s="240"/>
    </row>
    <row r="4" spans="1:18" ht="13" x14ac:dyDescent="0.25">
      <c r="A4" s="40"/>
      <c r="B4" s="42"/>
      <c r="C4" s="42"/>
      <c r="D4" s="244" t="s">
        <v>0</v>
      </c>
      <c r="E4" s="244"/>
      <c r="F4" s="42"/>
      <c r="G4" s="42"/>
      <c r="H4" s="44"/>
      <c r="I4" s="42"/>
      <c r="J4" s="42"/>
      <c r="K4" s="42"/>
      <c r="L4" s="42"/>
      <c r="M4" s="42"/>
      <c r="N4" s="42"/>
      <c r="O4" s="42"/>
      <c r="P4" s="42"/>
      <c r="Q4" s="42"/>
      <c r="R4" s="100"/>
    </row>
    <row r="5" spans="1:18" x14ac:dyDescent="0.25">
      <c r="A5" s="40"/>
      <c r="B5" s="42"/>
      <c r="C5" s="42"/>
      <c r="D5" s="115" t="s">
        <v>2</v>
      </c>
      <c r="E5" s="116" t="s">
        <v>3</v>
      </c>
      <c r="F5" s="42"/>
      <c r="G5" s="42"/>
      <c r="H5" s="44"/>
      <c r="I5" s="42"/>
      <c r="J5" s="42" t="s">
        <v>42</v>
      </c>
      <c r="K5" s="42"/>
      <c r="L5" s="42"/>
      <c r="M5" s="42"/>
      <c r="N5" s="42"/>
      <c r="O5" s="42"/>
      <c r="P5" s="214">
        <f>Value</f>
        <v>250000</v>
      </c>
      <c r="Q5" s="42"/>
      <c r="R5" s="100"/>
    </row>
    <row r="6" spans="1:18" x14ac:dyDescent="0.25">
      <c r="A6" s="40"/>
      <c r="B6" s="45"/>
      <c r="C6" s="45"/>
      <c r="D6" s="117" t="s">
        <v>4</v>
      </c>
      <c r="E6" s="118" t="s">
        <v>5</v>
      </c>
      <c r="F6" s="42"/>
      <c r="G6" s="42"/>
      <c r="H6" s="44"/>
      <c r="I6" s="42"/>
      <c r="J6" s="76" t="s">
        <v>43</v>
      </c>
      <c r="K6" s="42"/>
      <c r="L6" s="42"/>
      <c r="M6" s="42"/>
      <c r="N6" s="42"/>
      <c r="O6" s="42"/>
      <c r="P6" s="46">
        <f ca="1">UPB</f>
        <v>183088.41668406979</v>
      </c>
      <c r="Q6" s="42"/>
      <c r="R6" s="215"/>
    </row>
    <row r="7" spans="1:18" ht="13" x14ac:dyDescent="0.3">
      <c r="A7" s="40"/>
      <c r="B7" s="42"/>
      <c r="C7" s="42"/>
      <c r="D7" s="42"/>
      <c r="E7" s="42"/>
      <c r="F7" s="42"/>
      <c r="G7" s="42"/>
      <c r="H7" s="44"/>
      <c r="I7" s="42"/>
      <c r="J7" s="42" t="s">
        <v>44</v>
      </c>
      <c r="K7" s="42"/>
      <c r="L7" s="42"/>
      <c r="M7" s="42"/>
      <c r="N7" s="42"/>
      <c r="O7" s="42"/>
      <c r="P7" s="47">
        <f ca="1">P6/P5</f>
        <v>0.73235366673627911</v>
      </c>
      <c r="Q7" s="96"/>
      <c r="R7" s="215"/>
    </row>
    <row r="8" spans="1:18" ht="13" x14ac:dyDescent="0.3">
      <c r="A8" s="40"/>
      <c r="B8" s="48" t="s">
        <v>39</v>
      </c>
      <c r="C8" s="48"/>
      <c r="D8" s="48"/>
      <c r="E8" s="49">
        <f>GMI</f>
        <v>3291</v>
      </c>
      <c r="F8" s="42"/>
      <c r="G8" s="42"/>
      <c r="H8" s="44"/>
      <c r="I8" s="42"/>
      <c r="J8" s="42"/>
      <c r="K8" s="42"/>
      <c r="L8" s="42"/>
      <c r="M8" s="42"/>
      <c r="N8" s="42"/>
      <c r="O8" s="42"/>
      <c r="P8" s="50"/>
      <c r="Q8" s="42"/>
      <c r="R8" s="215"/>
    </row>
    <row r="9" spans="1:18" ht="13" x14ac:dyDescent="0.3">
      <c r="A9" s="40"/>
      <c r="B9" s="42"/>
      <c r="C9" s="42"/>
      <c r="D9" s="42"/>
      <c r="E9" s="42"/>
      <c r="F9" s="42"/>
      <c r="G9" s="42"/>
      <c r="H9" s="44"/>
      <c r="I9" s="42"/>
      <c r="J9" s="48" t="s">
        <v>45</v>
      </c>
      <c r="K9" s="42"/>
      <c r="L9" s="42"/>
      <c r="M9" s="42"/>
      <c r="N9" s="42"/>
      <c r="O9" s="42"/>
      <c r="P9" s="51" t="str">
        <f ca="1">IF(P7&gt;1,"YES","NO")</f>
        <v>NO</v>
      </c>
      <c r="Q9" s="42"/>
      <c r="R9" s="215"/>
    </row>
    <row r="10" spans="1:18" ht="13" x14ac:dyDescent="0.3">
      <c r="A10" s="40"/>
      <c r="B10" s="42"/>
      <c r="C10" s="42"/>
      <c r="D10" s="42"/>
      <c r="E10" s="42"/>
      <c r="F10" s="42"/>
      <c r="G10" s="42"/>
      <c r="H10" s="44"/>
      <c r="I10" s="42"/>
      <c r="J10" s="42"/>
      <c r="K10" s="52" t="str">
        <f ca="1">IF(P9="No","Proceed to Step 5","")</f>
        <v>Proceed to Step 5</v>
      </c>
      <c r="L10" s="52"/>
      <c r="M10" s="52"/>
      <c r="N10" s="42"/>
      <c r="O10" s="42"/>
      <c r="P10" s="42"/>
      <c r="Q10" s="42"/>
      <c r="R10" s="100"/>
    </row>
    <row r="11" spans="1:18" ht="15.5" x14ac:dyDescent="0.35">
      <c r="A11" s="40"/>
      <c r="B11" s="53" t="s">
        <v>46</v>
      </c>
      <c r="C11" s="42"/>
      <c r="D11" s="42"/>
      <c r="E11" s="54"/>
      <c r="F11" s="42"/>
      <c r="G11" s="42"/>
      <c r="H11" s="44"/>
      <c r="I11" s="42"/>
      <c r="J11" s="48" t="s">
        <v>47</v>
      </c>
      <c r="K11" s="48"/>
      <c r="L11" s="48"/>
      <c r="M11" s="48"/>
      <c r="N11" s="48"/>
      <c r="O11" s="48"/>
      <c r="P11" s="55"/>
      <c r="Q11" s="42"/>
      <c r="R11" s="100"/>
    </row>
    <row r="12" spans="1:18" ht="13" x14ac:dyDescent="0.3">
      <c r="A12" s="40"/>
      <c r="B12" s="42"/>
      <c r="C12" s="42"/>
      <c r="D12" s="42"/>
      <c r="E12" s="54"/>
      <c r="F12" s="42"/>
      <c r="G12" s="42"/>
      <c r="H12" s="44"/>
      <c r="I12" s="42"/>
      <c r="J12" s="76" t="s">
        <v>48</v>
      </c>
      <c r="K12" s="48"/>
      <c r="L12" s="48"/>
      <c r="M12" s="48"/>
      <c r="N12" s="48"/>
      <c r="O12" s="48"/>
      <c r="P12" s="48"/>
      <c r="Q12" s="42"/>
      <c r="R12" s="100"/>
    </row>
    <row r="13" spans="1:18" ht="13" x14ac:dyDescent="0.3">
      <c r="A13" s="40"/>
      <c r="B13" s="76" t="s">
        <v>49</v>
      </c>
      <c r="C13" s="42"/>
      <c r="D13" s="42"/>
      <c r="E13" s="85">
        <f>IF(NOT(Inputs!N13="Fixed Rate"),Inputs!N17,-PMT(Inputs!N12/12,Inputs!N11,Inputs!N10-Inputs!N16,-Inputs!N14))</f>
        <v>939.43768406980018</v>
      </c>
      <c r="F13" s="42"/>
      <c r="G13" s="42"/>
      <c r="H13" s="44"/>
      <c r="I13" s="42"/>
      <c r="J13" s="42"/>
      <c r="K13" s="42" t="s">
        <v>50</v>
      </c>
      <c r="L13" s="42"/>
      <c r="M13" s="42"/>
      <c r="N13" s="42"/>
      <c r="O13" s="42"/>
      <c r="P13" s="56">
        <f ca="1">IF(P9="NO",0,P5)</f>
        <v>0</v>
      </c>
      <c r="Q13" s="48"/>
      <c r="R13" s="100"/>
    </row>
    <row r="14" spans="1:18" ht="13" x14ac:dyDescent="0.3">
      <c r="A14" s="40"/>
      <c r="B14" s="42" t="s">
        <v>51</v>
      </c>
      <c r="C14" s="42"/>
      <c r="D14" s="42"/>
      <c r="E14" s="57">
        <f>Inputs!N18</f>
        <v>238</v>
      </c>
      <c r="F14" s="58" t="s">
        <v>52</v>
      </c>
      <c r="G14" s="42"/>
      <c r="H14" s="44"/>
      <c r="I14" s="42"/>
      <c r="J14" s="42"/>
      <c r="K14" s="42" t="s">
        <v>53</v>
      </c>
      <c r="L14" s="42"/>
      <c r="M14" s="42"/>
      <c r="N14" s="42"/>
      <c r="O14" s="42"/>
      <c r="P14" s="56">
        <f ca="1">IF(P9="NO",0,E27-P13)</f>
        <v>0</v>
      </c>
      <c r="Q14" s="48"/>
      <c r="R14" s="100"/>
    </row>
    <row r="15" spans="1:18" x14ac:dyDescent="0.25">
      <c r="A15" s="40"/>
      <c r="B15" s="42" t="s">
        <v>54</v>
      </c>
      <c r="C15" s="42"/>
      <c r="D15" s="42"/>
      <c r="E15" s="125">
        <f>Inputs!N19</f>
        <v>79</v>
      </c>
      <c r="F15" s="58" t="s">
        <v>52</v>
      </c>
      <c r="G15" s="42"/>
      <c r="H15" s="44"/>
      <c r="I15" s="42"/>
      <c r="J15" s="76" t="s">
        <v>55</v>
      </c>
      <c r="K15" s="42"/>
      <c r="L15" s="42"/>
      <c r="M15" s="42"/>
      <c r="N15" s="42"/>
      <c r="O15" s="42"/>
      <c r="P15" s="59"/>
      <c r="Q15" s="42"/>
      <c r="R15" s="100"/>
    </row>
    <row r="16" spans="1:18" x14ac:dyDescent="0.25">
      <c r="A16" s="40"/>
      <c r="B16" s="42" t="s">
        <v>56</v>
      </c>
      <c r="C16" s="42"/>
      <c r="D16" s="42"/>
      <c r="E16" s="68">
        <f>Inputs!N20</f>
        <v>0</v>
      </c>
      <c r="F16" s="58" t="s">
        <v>52</v>
      </c>
      <c r="G16" s="42"/>
      <c r="H16" s="44"/>
      <c r="I16" s="42"/>
      <c r="J16" s="42"/>
      <c r="K16" s="42" t="s">
        <v>50</v>
      </c>
      <c r="L16" s="42"/>
      <c r="M16" s="42"/>
      <c r="N16" s="42"/>
      <c r="O16" s="42"/>
      <c r="P16" s="123">
        <f ca="1">E27*0.7</f>
        <v>128161.89167884884</v>
      </c>
      <c r="Q16" s="42"/>
      <c r="R16" s="100"/>
    </row>
    <row r="17" spans="1:21" x14ac:dyDescent="0.25">
      <c r="A17" s="40"/>
      <c r="B17" s="43"/>
      <c r="C17" s="42"/>
      <c r="D17" s="42"/>
      <c r="E17" s="70"/>
      <c r="F17" s="60"/>
      <c r="G17" s="42"/>
      <c r="H17" s="44"/>
      <c r="I17" s="42"/>
      <c r="J17" s="42"/>
      <c r="K17" s="42" t="s">
        <v>53</v>
      </c>
      <c r="L17" s="42"/>
      <c r="M17" s="42"/>
      <c r="N17" s="42"/>
      <c r="O17" s="42"/>
      <c r="P17" s="56">
        <f ca="1">IF(P9="NO",0,E27*0.3)</f>
        <v>0</v>
      </c>
      <c r="Q17" s="42"/>
      <c r="R17" s="100"/>
    </row>
    <row r="18" spans="1:21" ht="13" x14ac:dyDescent="0.3">
      <c r="A18" s="40"/>
      <c r="B18" s="48" t="s">
        <v>38</v>
      </c>
      <c r="C18" s="48"/>
      <c r="D18" s="48"/>
      <c r="E18" s="69">
        <f>SUM(E13:E17)</f>
        <v>1256.4376840698001</v>
      </c>
      <c r="F18" s="58"/>
      <c r="G18" s="42"/>
      <c r="H18" s="44"/>
      <c r="I18" s="42"/>
      <c r="J18" s="62" t="s">
        <v>57</v>
      </c>
      <c r="K18" s="42"/>
      <c r="L18" s="42"/>
      <c r="M18" s="42"/>
      <c r="N18" s="42"/>
      <c r="O18" s="42"/>
      <c r="P18" s="195">
        <f ca="1">IF(P14&lt;P17,P14,P17)</f>
        <v>0</v>
      </c>
      <c r="Q18" s="42"/>
      <c r="R18" s="100"/>
    </row>
    <row r="19" spans="1:21" x14ac:dyDescent="0.25">
      <c r="A19" s="40"/>
      <c r="B19" s="42"/>
      <c r="C19" s="42"/>
      <c r="D19" s="42"/>
      <c r="E19" s="54"/>
      <c r="F19" s="42"/>
      <c r="G19" s="42"/>
      <c r="H19" s="44"/>
      <c r="I19" s="42"/>
      <c r="J19" s="42"/>
      <c r="K19" s="42"/>
      <c r="L19" s="42"/>
      <c r="M19" s="42"/>
      <c r="N19" s="42"/>
      <c r="O19" s="42"/>
      <c r="P19" s="42"/>
      <c r="Q19" s="42"/>
      <c r="R19" s="100"/>
      <c r="U19" s="211"/>
    </row>
    <row r="20" spans="1:21" ht="13" x14ac:dyDescent="0.3">
      <c r="A20" s="40"/>
      <c r="B20" s="48" t="s">
        <v>58</v>
      </c>
      <c r="C20" s="42"/>
      <c r="D20" s="42"/>
      <c r="E20" s="142">
        <f ca="1">Inputs!N11-ROUNDUP(DAYS360(Inputs!N15,Inputs!N26)/30,0)</f>
        <v>279</v>
      </c>
      <c r="F20" s="43" t="s">
        <v>59</v>
      </c>
      <c r="G20" s="42"/>
      <c r="H20" s="44"/>
      <c r="I20" s="42"/>
      <c r="J20" s="222" t="s">
        <v>60</v>
      </c>
      <c r="K20" s="42"/>
      <c r="L20" s="42"/>
      <c r="M20" s="42"/>
      <c r="N20" s="42"/>
      <c r="O20" s="42"/>
      <c r="P20" s="199">
        <f ca="1">IF(P9="YES",E27-P18,E27)</f>
        <v>183088.41668406979</v>
      </c>
      <c r="Q20" s="42"/>
      <c r="R20" s="100"/>
    </row>
    <row r="21" spans="1:21" ht="13" x14ac:dyDescent="0.3">
      <c r="A21" s="40"/>
      <c r="B21" s="48"/>
      <c r="C21" s="42"/>
      <c r="D21" s="42"/>
      <c r="E21" s="86"/>
      <c r="F21" s="43"/>
      <c r="G21" s="42"/>
      <c r="H21" s="44"/>
      <c r="I21" s="42"/>
      <c r="J21" s="42"/>
      <c r="K21" s="42"/>
      <c r="L21" s="42"/>
      <c r="M21" s="42"/>
      <c r="N21" s="42"/>
      <c r="O21" s="42"/>
      <c r="P21" s="42"/>
      <c r="Q21" s="42"/>
      <c r="R21" s="100"/>
      <c r="U21" s="210"/>
    </row>
    <row r="22" spans="1:21" ht="13" x14ac:dyDescent="0.25">
      <c r="A22" s="40"/>
      <c r="B22" s="42"/>
      <c r="C22" s="42"/>
      <c r="D22" s="42"/>
      <c r="E22" s="42"/>
      <c r="F22" s="42"/>
      <c r="G22" s="42"/>
      <c r="H22" s="44"/>
      <c r="I22" s="238" t="s">
        <v>61</v>
      </c>
      <c r="J22" s="239"/>
      <c r="K22" s="239"/>
      <c r="L22" s="239"/>
      <c r="M22" s="239"/>
      <c r="N22" s="239"/>
      <c r="O22" s="239"/>
      <c r="P22" s="239"/>
      <c r="Q22" s="239"/>
      <c r="R22" s="240"/>
      <c r="U22" s="210"/>
    </row>
    <row r="23" spans="1:21" ht="13" x14ac:dyDescent="0.25">
      <c r="A23" s="238" t="s">
        <v>62</v>
      </c>
      <c r="B23" s="239"/>
      <c r="C23" s="239"/>
      <c r="D23" s="239"/>
      <c r="E23" s="239"/>
      <c r="F23" s="239"/>
      <c r="G23" s="240"/>
      <c r="H23" s="44"/>
      <c r="I23" s="42"/>
      <c r="J23" s="63"/>
      <c r="K23" s="42"/>
      <c r="L23" s="42"/>
      <c r="M23" s="42"/>
      <c r="N23" s="42"/>
      <c r="O23" s="42"/>
      <c r="P23" s="42"/>
      <c r="Q23" s="42"/>
      <c r="R23" s="100"/>
      <c r="U23" s="211"/>
    </row>
    <row r="24" spans="1:21" ht="13" x14ac:dyDescent="0.3">
      <c r="A24" s="40"/>
      <c r="B24" s="52"/>
      <c r="C24" s="42"/>
      <c r="D24" s="42"/>
      <c r="E24" s="54"/>
      <c r="F24" s="42"/>
      <c r="G24" s="42"/>
      <c r="H24" s="44"/>
      <c r="J24" s="163" t="str">
        <f ca="1">IF(Inputs!N27&gt;3,"Borrower Over 90 Days in Default. Target P&amp;I Reduction Only","Borrower Less Than 90 Days Delinquent. Target P&amp;I Reduction and HTI")</f>
        <v>Borrower Over 90 Days in Default. Target P&amp;I Reduction Only</v>
      </c>
      <c r="K24" s="161"/>
      <c r="L24" s="161"/>
      <c r="M24" s="161"/>
      <c r="N24" s="161"/>
      <c r="O24" s="161"/>
      <c r="P24" s="161"/>
      <c r="Q24" s="161"/>
      <c r="R24" s="162"/>
    </row>
    <row r="25" spans="1:21" x14ac:dyDescent="0.25">
      <c r="A25" s="40"/>
      <c r="B25" s="76" t="s">
        <v>63</v>
      </c>
      <c r="C25" s="42"/>
      <c r="D25" s="42"/>
      <c r="E25" s="57">
        <f>Inputs!N28</f>
        <v>160000</v>
      </c>
      <c r="F25" s="76" t="s">
        <v>52</v>
      </c>
      <c r="G25" s="42"/>
      <c r="H25" s="44"/>
      <c r="I25" s="42"/>
      <c r="J25" s="76" t="s">
        <v>64</v>
      </c>
      <c r="K25" s="42"/>
      <c r="L25" s="42"/>
      <c r="M25" s="42"/>
      <c r="N25" s="42"/>
      <c r="O25" s="42"/>
      <c r="P25" s="216">
        <f ca="1">-PV(E35/12,E41,E13*0.8)</f>
        <v>155859.69423105355</v>
      </c>
      <c r="Q25" s="42"/>
      <c r="R25" s="100"/>
    </row>
    <row r="26" spans="1:21" x14ac:dyDescent="0.25">
      <c r="A26" s="40"/>
      <c r="B26" s="76" t="str">
        <f>IF(Inputs!N16&gt;0,"Arrears and Forbearance","Total Eligible Arrears")</f>
        <v>Total Eligible Arrears</v>
      </c>
      <c r="C26" s="42"/>
      <c r="D26" s="42"/>
      <c r="E26" s="57">
        <f ca="1">Inputs!$N$35</f>
        <v>23088.416684069798</v>
      </c>
      <c r="F26" s="75"/>
      <c r="G26" s="42"/>
      <c r="H26" s="44"/>
      <c r="I26" s="42"/>
      <c r="J26" s="147" t="str">
        <f ca="1">IF(Inputs!N27&gt;3,"","Target Amortizing UPB for 40% HTI")</f>
        <v/>
      </c>
      <c r="P26" s="223">
        <f ca="1">-PV(E35/12,E41,0.4*GMI-(SUM(E14:E16)))</f>
        <v>207259.86014808077</v>
      </c>
      <c r="Q26" s="42"/>
      <c r="R26" s="100"/>
    </row>
    <row r="27" spans="1:21" ht="13" x14ac:dyDescent="0.3">
      <c r="A27" s="40"/>
      <c r="B27" s="48" t="s">
        <v>65</v>
      </c>
      <c r="C27" s="48"/>
      <c r="D27" s="48"/>
      <c r="E27" s="61">
        <f ca="1">SUM(E25:E26)</f>
        <v>183088.41668406979</v>
      </c>
      <c r="F27" s="58"/>
      <c r="G27" s="42"/>
      <c r="H27" s="44"/>
      <c r="J27" s="147" t="s">
        <v>66</v>
      </c>
      <c r="P27" s="155">
        <f ca="1">IF(OR(Inputs!N27&gt;3,Flex!P26&gt;Flex!P25),IF(P25&gt;P20,0,P20-P25),IF(P26&gt;P20,0,P20-P26))</f>
        <v>27228.722453016235</v>
      </c>
      <c r="Q27" s="42"/>
      <c r="R27" s="100"/>
    </row>
    <row r="28" spans="1:21" x14ac:dyDescent="0.25">
      <c r="A28" s="40"/>
      <c r="B28" s="42"/>
      <c r="C28" s="42"/>
      <c r="D28" s="42"/>
      <c r="E28" s="54"/>
      <c r="F28" s="42"/>
      <c r="G28" s="42"/>
      <c r="H28" s="44"/>
      <c r="I28" s="42"/>
      <c r="Q28" s="50"/>
      <c r="R28" s="100"/>
    </row>
    <row r="29" spans="1:21" ht="13" x14ac:dyDescent="0.3">
      <c r="A29" s="40"/>
      <c r="B29" s="42"/>
      <c r="C29" s="42"/>
      <c r="D29" s="42"/>
      <c r="E29" s="54"/>
      <c r="F29" s="42"/>
      <c r="G29" s="42"/>
      <c r="H29" s="44"/>
      <c r="I29" s="42"/>
      <c r="J29" s="48" t="s">
        <v>67</v>
      </c>
      <c r="K29" s="42"/>
      <c r="L29" s="135"/>
      <c r="M29" s="136"/>
      <c r="N29" s="135"/>
      <c r="O29" s="134"/>
      <c r="P29" s="86"/>
      <c r="Q29" s="42"/>
      <c r="R29" s="100"/>
    </row>
    <row r="30" spans="1:21" ht="12.75" customHeight="1" x14ac:dyDescent="0.25">
      <c r="A30" s="238" t="s">
        <v>68</v>
      </c>
      <c r="B30" s="239"/>
      <c r="C30" s="239"/>
      <c r="D30" s="239"/>
      <c r="E30" s="239"/>
      <c r="F30" s="239"/>
      <c r="G30" s="240"/>
      <c r="H30" s="44"/>
      <c r="I30" s="42"/>
      <c r="J30" s="76"/>
      <c r="K30" s="76" t="s">
        <v>69</v>
      </c>
      <c r="L30" s="42"/>
      <c r="M30" s="42"/>
      <c r="N30" s="42"/>
      <c r="O30" s="42"/>
      <c r="P30" s="123">
        <f ca="1">IF(P20-P5*0.8&lt;0,0,P20-P5*0.8)</f>
        <v>0</v>
      </c>
      <c r="Q30" s="42"/>
      <c r="R30" s="100"/>
      <c r="T30" s="210"/>
    </row>
    <row r="31" spans="1:21" x14ac:dyDescent="0.25">
      <c r="A31" s="40"/>
      <c r="B31" s="42"/>
      <c r="C31" s="42"/>
      <c r="D31" s="42"/>
      <c r="E31" s="54"/>
      <c r="F31" s="42"/>
      <c r="G31" s="42"/>
      <c r="H31" s="44"/>
      <c r="I31" s="42"/>
      <c r="J31" s="42"/>
      <c r="K31" s="76" t="s">
        <v>70</v>
      </c>
      <c r="L31" s="42"/>
      <c r="M31" s="42"/>
      <c r="N31" s="42"/>
      <c r="O31" s="42"/>
      <c r="P31" s="155">
        <f ca="1">P6-UPB*0.7</f>
        <v>54926.525005220945</v>
      </c>
      <c r="Q31" s="42"/>
      <c r="R31" s="100"/>
    </row>
    <row r="32" spans="1:21" ht="13" x14ac:dyDescent="0.3">
      <c r="A32" s="40"/>
      <c r="B32" s="13" t="str">
        <f ca="1">IF(AND(MTMLTV&lt;0.8,OR(RateType="Fixed Rate",Inputs!N12=Inputs!N14)),"Keep Current Rate:","Lesser of:")</f>
        <v>Keep Current Rate:</v>
      </c>
      <c r="C32" s="1"/>
      <c r="D32" s="1"/>
      <c r="E32" s="1"/>
      <c r="F32" s="48"/>
      <c r="G32" s="76"/>
      <c r="H32" s="217"/>
      <c r="I32" s="42"/>
      <c r="J32" s="76" t="s">
        <v>71</v>
      </c>
      <c r="K32" s="76"/>
      <c r="L32" s="76"/>
      <c r="M32" s="76"/>
      <c r="N32" s="42"/>
      <c r="O32" s="42"/>
      <c r="P32" s="155">
        <f ca="1">MIN(P27,P30-P18,P31-P18)</f>
        <v>0</v>
      </c>
      <c r="Q32" s="42"/>
      <c r="R32" s="100"/>
    </row>
    <row r="33" spans="1:22" ht="13.5" x14ac:dyDescent="0.3">
      <c r="A33" s="40"/>
      <c r="B33" s="101" t="str">
        <f ca="1">IF(AND(MTMLTV&lt;0.8,OR(RateType="Fixed Rate",Inputs!N12=Inputs!N14)),"",IF(Owner=1,"Fannie Mae Mod Rate",IF(Owner=2,"Freddie Mac Mod Rate",0)))</f>
        <v/>
      </c>
      <c r="C33" s="218"/>
      <c r="D33" s="1"/>
      <c r="E33" s="144">
        <f>Inputs!N6</f>
        <v>2.8750000000000001E-2</v>
      </c>
      <c r="F33" s="48"/>
      <c r="G33" s="76"/>
      <c r="H33" s="217"/>
      <c r="I33" s="42"/>
      <c r="Q33" s="97"/>
      <c r="R33" s="100"/>
      <c r="V33" s="210"/>
    </row>
    <row r="34" spans="1:22" ht="13" x14ac:dyDescent="0.3">
      <c r="A34" s="40"/>
      <c r="B34" s="73" t="str">
        <f>IF(RateType="Fixed Rate","Current Rate",Inputs!K14)</f>
        <v>Current Rate</v>
      </c>
      <c r="C34" s="2"/>
      <c r="D34" s="2"/>
      <c r="E34" s="146">
        <f>IF(RateType="Fixed Rate",Inputs!N12,Inputs!N14)</f>
        <v>0.05</v>
      </c>
      <c r="F34" s="48"/>
      <c r="G34" s="76"/>
      <c r="H34" s="217"/>
      <c r="I34" s="236" t="str">
        <f ca="1">IF(-PMT(E35/12,E41,P20-P32)&gt;E13,"P&amp;I Reduction Not Possible; Borrower Ineligible","MODIFICATION RESULTS")</f>
        <v>MODIFICATION RESULTS</v>
      </c>
      <c r="J34" s="236"/>
      <c r="K34" s="236"/>
      <c r="L34" s="236"/>
      <c r="M34" s="236"/>
      <c r="N34" s="236"/>
      <c r="O34" s="236"/>
      <c r="P34" s="237"/>
      <c r="Q34" s="236"/>
      <c r="R34" s="236"/>
    </row>
    <row r="35" spans="1:22" ht="13" x14ac:dyDescent="0.3">
      <c r="A35" s="40"/>
      <c r="B35" s="48" t="s">
        <v>72</v>
      </c>
      <c r="C35" s="52"/>
      <c r="D35" s="42"/>
      <c r="E35" s="146">
        <f ca="1">VLOOKUP(RateType,RateTable,3,FALSE)</f>
        <v>0.05</v>
      </c>
      <c r="F35" s="48"/>
      <c r="G35" s="76"/>
      <c r="H35" s="217"/>
      <c r="I35" s="157"/>
      <c r="J35" s="157"/>
      <c r="K35" s="157"/>
      <c r="L35" s="157"/>
      <c r="M35" s="157"/>
      <c r="N35" s="157"/>
      <c r="O35" s="157"/>
      <c r="P35" s="159"/>
      <c r="Q35" s="157"/>
      <c r="R35" s="158"/>
    </row>
    <row r="36" spans="1:22" ht="13" x14ac:dyDescent="0.3">
      <c r="A36" s="40"/>
      <c r="B36" s="42"/>
      <c r="C36" s="42"/>
      <c r="D36" s="42"/>
      <c r="E36" s="42"/>
      <c r="F36" s="48"/>
      <c r="G36" s="42"/>
      <c r="H36" s="217"/>
      <c r="I36" s="42"/>
      <c r="J36" s="76" t="s">
        <v>73</v>
      </c>
      <c r="K36" s="42"/>
      <c r="L36" s="42"/>
      <c r="M36" s="42"/>
      <c r="N36" s="42"/>
      <c r="O36" s="42"/>
      <c r="P36" s="156">
        <f ca="1">-PMT(E35/12,480,P38-P39)</f>
        <v>882.84612130552932</v>
      </c>
      <c r="Q36" s="43"/>
      <c r="R36" s="100"/>
    </row>
    <row r="37" spans="1:22" ht="13" x14ac:dyDescent="0.3">
      <c r="A37" s="40"/>
      <c r="B37" s="48"/>
      <c r="C37" s="48"/>
      <c r="D37" s="48"/>
      <c r="E37" s="64"/>
      <c r="F37" s="48"/>
      <c r="G37" s="42"/>
      <c r="H37" s="44"/>
      <c r="I37" s="42"/>
      <c r="J37" s="76" t="s">
        <v>74</v>
      </c>
      <c r="K37" s="42"/>
      <c r="L37" s="42"/>
      <c r="M37" s="42"/>
      <c r="N37" s="42"/>
      <c r="O37" s="42"/>
      <c r="P37" s="151">
        <f ca="1">PIREDUCTION+SUM(E14:E16)</f>
        <v>1199.8461213055293</v>
      </c>
      <c r="Q37" s="43"/>
      <c r="R37" s="100"/>
    </row>
    <row r="38" spans="1:22" ht="13" x14ac:dyDescent="0.3">
      <c r="A38" s="40"/>
      <c r="B38" s="48"/>
      <c r="C38" s="42"/>
      <c r="D38" s="42"/>
      <c r="E38" s="42"/>
      <c r="F38" s="42"/>
      <c r="G38" s="42"/>
      <c r="H38" s="44"/>
      <c r="I38" s="42"/>
      <c r="J38" s="148" t="s">
        <v>75</v>
      </c>
      <c r="K38" s="42"/>
      <c r="L38" s="42"/>
      <c r="M38" s="42"/>
      <c r="N38" s="42"/>
      <c r="O38" s="42"/>
      <c r="P38" s="150">
        <f ca="1">UPB</f>
        <v>183088.41668406979</v>
      </c>
      <c r="Q38" s="43"/>
      <c r="R38" s="100"/>
    </row>
    <row r="39" spans="1:22" ht="13" x14ac:dyDescent="0.3">
      <c r="A39" s="238" t="s">
        <v>76</v>
      </c>
      <c r="B39" s="239"/>
      <c r="C39" s="239"/>
      <c r="D39" s="239"/>
      <c r="E39" s="239"/>
      <c r="F39" s="239"/>
      <c r="G39" s="240"/>
      <c r="H39" s="44"/>
      <c r="I39" s="42"/>
      <c r="J39" s="148" t="s">
        <v>77</v>
      </c>
      <c r="K39" s="42"/>
      <c r="L39" s="42"/>
      <c r="M39" s="42"/>
      <c r="N39" s="42"/>
      <c r="O39" s="42"/>
      <c r="P39" s="152">
        <f ca="1">P38-(P20-P32)</f>
        <v>0</v>
      </c>
      <c r="Q39" s="98"/>
      <c r="R39" s="100"/>
    </row>
    <row r="40" spans="1:22" ht="12.75" customHeight="1" x14ac:dyDescent="0.35">
      <c r="A40" s="40"/>
      <c r="B40" s="42"/>
      <c r="C40" s="42"/>
      <c r="D40" s="42"/>
      <c r="E40" s="65"/>
      <c r="F40" s="42"/>
      <c r="G40" s="42"/>
      <c r="H40" s="44"/>
      <c r="I40" s="42"/>
      <c r="J40" s="76" t="s">
        <v>78</v>
      </c>
      <c r="K40" s="42"/>
      <c r="L40" s="42"/>
      <c r="M40" s="42"/>
      <c r="N40" s="42"/>
      <c r="O40" s="42"/>
      <c r="P40" s="153">
        <f ca="1">E35</f>
        <v>0.05</v>
      </c>
      <c r="Q40" s="43"/>
      <c r="R40" s="100"/>
    </row>
    <row r="41" spans="1:22" ht="13" x14ac:dyDescent="0.3">
      <c r="A41" s="40"/>
      <c r="B41" s="48" t="s">
        <v>79</v>
      </c>
      <c r="C41" s="42"/>
      <c r="D41" s="42"/>
      <c r="E41" s="124">
        <v>480</v>
      </c>
      <c r="F41" s="76" t="s">
        <v>80</v>
      </c>
      <c r="G41" s="42"/>
      <c r="H41" s="44"/>
      <c r="I41" s="42"/>
      <c r="J41" s="76" t="s">
        <v>81</v>
      </c>
      <c r="K41" s="42"/>
      <c r="L41" s="42"/>
      <c r="M41" s="42"/>
      <c r="N41" s="42"/>
      <c r="O41" s="42"/>
      <c r="P41" s="154">
        <v>480</v>
      </c>
      <c r="Q41" s="42"/>
      <c r="R41" s="100"/>
    </row>
    <row r="42" spans="1:22" ht="13" x14ac:dyDescent="0.3">
      <c r="A42" s="40"/>
      <c r="B42" s="42"/>
      <c r="C42" s="42"/>
      <c r="D42" s="42"/>
      <c r="E42" s="42"/>
      <c r="F42" s="42"/>
      <c r="G42" s="42"/>
      <c r="H42" s="44"/>
      <c r="I42" s="42"/>
      <c r="J42" s="52"/>
      <c r="K42" s="42"/>
      <c r="L42" s="42"/>
      <c r="M42" s="42"/>
      <c r="N42" s="42"/>
      <c r="O42" s="42"/>
      <c r="P42" s="42"/>
      <c r="Q42" s="42"/>
      <c r="R42" s="100"/>
    </row>
    <row r="43" spans="1:22" x14ac:dyDescent="0.25">
      <c r="A43" s="126"/>
      <c r="B43" s="66"/>
      <c r="C43" s="66"/>
      <c r="D43" s="66"/>
      <c r="E43" s="66"/>
      <c r="F43" s="66"/>
      <c r="G43" s="66"/>
      <c r="H43" s="44"/>
      <c r="I43" s="66"/>
      <c r="J43" s="66"/>
      <c r="K43" s="66"/>
      <c r="L43" s="66"/>
      <c r="M43" s="66"/>
      <c r="N43" s="66"/>
      <c r="O43" s="66"/>
      <c r="P43" s="66"/>
      <c r="Q43" s="99" t="s">
        <v>82</v>
      </c>
      <c r="R43" s="102"/>
    </row>
  </sheetData>
  <mergeCells count="8">
    <mergeCell ref="I34:R34"/>
    <mergeCell ref="A39:G39"/>
    <mergeCell ref="A1:R1"/>
    <mergeCell ref="I3:R3"/>
    <mergeCell ref="D4:E4"/>
    <mergeCell ref="I22:R22"/>
    <mergeCell ref="A23:G23"/>
    <mergeCell ref="A30:G30"/>
  </mergeCells>
  <conditionalFormatting sqref="J11:P18">
    <cfRule type="expression" dxfId="11" priority="3">
      <formula>IF($P$9="NO",1,0)</formula>
    </cfRule>
  </conditionalFormatting>
  <conditionalFormatting sqref="J36:P41">
    <cfRule type="expression" dxfId="10" priority="1">
      <formula>IF(-PMT($E$35/12,$E$41,$P$20-$P$32)&gt;$E$13,1,0)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8737A90-DFB3-4A99-B239-0256C3160731}">
            <xm:f>IF(Inputs!N27&gt;3,1,0)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P26</xm:sqref>
        </x14:conditionalFormatting>
        <x14:conditionalFormatting xmlns:xm="http://schemas.microsoft.com/office/excel/2006/main">
          <x14:cfRule type="expression" priority="2" id="{FAA3C0AB-0394-4CD9-B22F-357E8EE28E65}">
            <xm:f>IF(AND(MTMLTV&lt;0.8,OR(RateType="Fixed Rate",Inputs!N12=Inputs!N14)),1,0)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E33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  <pageSetUpPr autoPageBreaks="0"/>
  </sheetPr>
  <dimension ref="A1:V43"/>
  <sheetViews>
    <sheetView showGridLines="0" zoomScaleNormal="100" workbookViewId="0">
      <selection sqref="A1:R1"/>
    </sheetView>
  </sheetViews>
  <sheetFormatPr defaultColWidth="9.1796875" defaultRowHeight="12.5" x14ac:dyDescent="0.25"/>
  <cols>
    <col min="1" max="1" width="3" style="39" customWidth="1"/>
    <col min="2" max="3" width="9.1796875" style="39"/>
    <col min="4" max="4" width="12.7265625" style="39" customWidth="1"/>
    <col min="5" max="5" width="15.453125" style="39" customWidth="1"/>
    <col min="6" max="6" width="8.81640625" style="39" customWidth="1"/>
    <col min="7" max="7" width="10" style="39" customWidth="1"/>
    <col min="8" max="8" width="4.453125" style="39" customWidth="1"/>
    <col min="9" max="9" width="6.453125" style="39" customWidth="1"/>
    <col min="10" max="10" width="6.26953125" style="39" customWidth="1"/>
    <col min="11" max="11" width="12.81640625" style="39" customWidth="1"/>
    <col min="12" max="12" width="7.453125" style="39" customWidth="1"/>
    <col min="13" max="13" width="3.1796875" style="39" customWidth="1"/>
    <col min="14" max="14" width="4.7265625" style="39" customWidth="1"/>
    <col min="15" max="15" width="10.453125" style="39" customWidth="1"/>
    <col min="16" max="16" width="17.7265625" style="39" customWidth="1"/>
    <col min="17" max="17" width="2.1796875" style="39" customWidth="1"/>
    <col min="18" max="18" width="2.7265625" style="78" customWidth="1"/>
    <col min="19" max="19" width="9.1796875" style="39"/>
    <col min="20" max="20" width="9.7265625" style="39" bestFit="1" customWidth="1"/>
    <col min="21" max="21" width="9.1796875" style="39"/>
    <col min="22" max="22" width="10.26953125" style="39" bestFit="1" customWidth="1"/>
    <col min="23" max="16384" width="9.1796875" style="39"/>
  </cols>
  <sheetData>
    <row r="1" spans="1:18" ht="17.5" x14ac:dyDescent="0.35">
      <c r="A1" s="241" t="str">
        <f ca="1">IF(AND(Inputs!N25&gt;=DATE(2020,1,1),Inputs!N27&lt;19),IF(Owner=1,"FANNIE MAE FLEX MODIFICATION","FREDDIE MAC FLEX MODIFICATION"),"NOT ELIGIBLE FOR A COVID FLEX MODIFICATION")</f>
        <v>FANNIE MAE FLEX MODIFICATION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18" x14ac:dyDescent="0.25">
      <c r="A2" s="36"/>
      <c r="B2" s="77" t="str">
        <f>IF(Q43="MFY's Proprietary Waterfall Worksheet for HAMP Tiers 1 and 2","","MFY's Proprietary Waterfall Worksheet for HAMP Tiers 1 and 2")</f>
        <v>MFY's Proprietary Waterfall Worksheet for HAMP Tiers 1 and 2</v>
      </c>
      <c r="C2" s="37"/>
      <c r="D2" s="37"/>
      <c r="E2" s="37"/>
      <c r="F2" s="37"/>
      <c r="G2" s="37"/>
      <c r="H2" s="38"/>
      <c r="I2" s="37"/>
      <c r="J2" s="37"/>
      <c r="K2" s="37"/>
      <c r="L2" s="37"/>
      <c r="M2" s="37"/>
      <c r="N2" s="37"/>
      <c r="O2" s="37"/>
      <c r="P2" s="37"/>
      <c r="Q2" s="37"/>
      <c r="R2" s="103"/>
    </row>
    <row r="3" spans="1:18" ht="12.75" customHeight="1" x14ac:dyDescent="0.25">
      <c r="A3" s="40"/>
      <c r="B3" s="41"/>
      <c r="C3" s="42"/>
      <c r="D3" s="43"/>
      <c r="E3" s="42"/>
      <c r="F3" s="42"/>
      <c r="G3" s="42"/>
      <c r="H3" s="44"/>
      <c r="I3" s="238" t="s">
        <v>41</v>
      </c>
      <c r="J3" s="239"/>
      <c r="K3" s="239"/>
      <c r="L3" s="239"/>
      <c r="M3" s="239"/>
      <c r="N3" s="239"/>
      <c r="O3" s="239"/>
      <c r="P3" s="239"/>
      <c r="Q3" s="239"/>
      <c r="R3" s="240"/>
    </row>
    <row r="4" spans="1:18" ht="13" customHeight="1" x14ac:dyDescent="0.25">
      <c r="A4" s="40"/>
      <c r="B4" s="42"/>
      <c r="C4" s="245" t="s">
        <v>0</v>
      </c>
      <c r="D4" s="245"/>
      <c r="E4" s="245"/>
      <c r="F4" s="245"/>
      <c r="G4" s="42"/>
      <c r="H4" s="44"/>
      <c r="I4" s="42"/>
      <c r="J4" s="42"/>
      <c r="K4" s="42"/>
      <c r="L4" s="42"/>
      <c r="M4" s="42"/>
      <c r="N4" s="42"/>
      <c r="O4" s="42"/>
      <c r="P4" s="42"/>
      <c r="Q4" s="42"/>
      <c r="R4" s="100"/>
    </row>
    <row r="5" spans="1:18" x14ac:dyDescent="0.25">
      <c r="A5" s="40"/>
      <c r="B5" s="42"/>
      <c r="C5" s="42"/>
      <c r="D5" s="115" t="s">
        <v>2</v>
      </c>
      <c r="E5" s="116" t="s">
        <v>3</v>
      </c>
      <c r="F5" s="42"/>
      <c r="G5" s="42"/>
      <c r="H5" s="44"/>
      <c r="I5" s="42"/>
      <c r="J5" s="42" t="s">
        <v>42</v>
      </c>
      <c r="K5" s="42"/>
      <c r="L5" s="42"/>
      <c r="M5" s="42"/>
      <c r="N5" s="42"/>
      <c r="O5" s="42"/>
      <c r="P5" s="214">
        <f>Value</f>
        <v>250000</v>
      </c>
      <c r="Q5" s="42"/>
      <c r="R5" s="100"/>
    </row>
    <row r="6" spans="1:18" x14ac:dyDescent="0.25">
      <c r="A6" s="40"/>
      <c r="B6" s="45"/>
      <c r="C6" s="45"/>
      <c r="D6" s="117" t="s">
        <v>4</v>
      </c>
      <c r="E6" s="118" t="s">
        <v>5</v>
      </c>
      <c r="F6" s="42"/>
      <c r="G6" s="42"/>
      <c r="H6" s="44"/>
      <c r="I6" s="42"/>
      <c r="J6" s="76" t="s">
        <v>43</v>
      </c>
      <c r="K6" s="42"/>
      <c r="L6" s="42"/>
      <c r="M6" s="42"/>
      <c r="N6" s="42"/>
      <c r="O6" s="42"/>
      <c r="P6" s="46">
        <f ca="1">UPB</f>
        <v>183088.41668406979</v>
      </c>
      <c r="Q6" s="42"/>
      <c r="R6" s="215"/>
    </row>
    <row r="7" spans="1:18" ht="13" x14ac:dyDescent="0.3">
      <c r="A7" s="40"/>
      <c r="B7" s="42"/>
      <c r="C7" s="42"/>
      <c r="D7" s="42"/>
      <c r="E7" s="42"/>
      <c r="F7" s="42"/>
      <c r="G7" s="42"/>
      <c r="H7" s="44"/>
      <c r="I7" s="42"/>
      <c r="J7" s="42" t="s">
        <v>44</v>
      </c>
      <c r="K7" s="42"/>
      <c r="L7" s="42"/>
      <c r="M7" s="42"/>
      <c r="N7" s="42"/>
      <c r="O7" s="42"/>
      <c r="P7" s="47">
        <f ca="1">P6/P5</f>
        <v>0.73235366673627911</v>
      </c>
      <c r="Q7" s="96"/>
      <c r="R7" s="215"/>
    </row>
    <row r="8" spans="1:18" ht="13" x14ac:dyDescent="0.3">
      <c r="A8" s="40"/>
      <c r="B8" s="48" t="s">
        <v>39</v>
      </c>
      <c r="C8" s="48"/>
      <c r="D8" s="48"/>
      <c r="E8" s="49">
        <f>GMI</f>
        <v>3291</v>
      </c>
      <c r="F8" s="42"/>
      <c r="G8" s="42"/>
      <c r="H8" s="44"/>
      <c r="I8" s="42"/>
      <c r="J8" s="42"/>
      <c r="K8" s="42"/>
      <c r="L8" s="42"/>
      <c r="M8" s="42"/>
      <c r="N8" s="42"/>
      <c r="O8" s="42"/>
      <c r="P8" s="50"/>
      <c r="Q8" s="42"/>
      <c r="R8" s="215"/>
    </row>
    <row r="9" spans="1:18" ht="13" x14ac:dyDescent="0.3">
      <c r="A9" s="40"/>
      <c r="B9" s="42"/>
      <c r="C9" s="42"/>
      <c r="D9" s="42"/>
      <c r="E9" s="42"/>
      <c r="F9" s="42"/>
      <c r="G9" s="42"/>
      <c r="H9" s="44"/>
      <c r="I9" s="42"/>
      <c r="J9" s="48" t="s">
        <v>45</v>
      </c>
      <c r="K9" s="42"/>
      <c r="L9" s="42"/>
      <c r="M9" s="42"/>
      <c r="N9" s="42"/>
      <c r="O9" s="42"/>
      <c r="P9" s="51" t="str">
        <f ca="1">IF(P7&gt;1,"YES","NO")</f>
        <v>NO</v>
      </c>
      <c r="Q9" s="42"/>
      <c r="R9" s="215"/>
    </row>
    <row r="10" spans="1:18" ht="13" x14ac:dyDescent="0.3">
      <c r="A10" s="40"/>
      <c r="B10" s="42"/>
      <c r="C10" s="42"/>
      <c r="D10" s="42"/>
      <c r="E10" s="42"/>
      <c r="F10" s="42"/>
      <c r="G10" s="42"/>
      <c r="H10" s="44"/>
      <c r="I10" s="42"/>
      <c r="J10" s="42"/>
      <c r="K10" s="52" t="str">
        <f ca="1">IF(P9="No","Proceed to Step 5","")</f>
        <v>Proceed to Step 5</v>
      </c>
      <c r="L10" s="52"/>
      <c r="M10" s="52"/>
      <c r="N10" s="42"/>
      <c r="O10" s="42"/>
      <c r="P10" s="42"/>
      <c r="Q10" s="42"/>
      <c r="R10" s="100"/>
    </row>
    <row r="11" spans="1:18" ht="15.5" x14ac:dyDescent="0.35">
      <c r="A11" s="40"/>
      <c r="B11" s="53" t="s">
        <v>46</v>
      </c>
      <c r="C11" s="42"/>
      <c r="D11" s="42"/>
      <c r="E11" s="54"/>
      <c r="F11" s="42"/>
      <c r="G11" s="42"/>
      <c r="H11" s="44"/>
      <c r="I11" s="42"/>
      <c r="J11" s="48" t="s">
        <v>47</v>
      </c>
      <c r="K11" s="48"/>
      <c r="L11" s="48"/>
      <c r="M11" s="48"/>
      <c r="N11" s="48"/>
      <c r="O11" s="48"/>
      <c r="P11" s="55"/>
      <c r="Q11" s="42"/>
      <c r="R11" s="100"/>
    </row>
    <row r="12" spans="1:18" ht="13" x14ac:dyDescent="0.3">
      <c r="A12" s="40"/>
      <c r="B12" s="42"/>
      <c r="C12" s="42"/>
      <c r="D12" s="42"/>
      <c r="E12" s="54"/>
      <c r="F12" s="42"/>
      <c r="G12" s="42"/>
      <c r="H12" s="44"/>
      <c r="I12" s="42"/>
      <c r="J12" s="76" t="s">
        <v>48</v>
      </c>
      <c r="K12" s="48"/>
      <c r="L12" s="48"/>
      <c r="M12" s="48"/>
      <c r="N12" s="48"/>
      <c r="O12" s="48"/>
      <c r="P12" s="48"/>
      <c r="Q12" s="42"/>
      <c r="R12" s="100"/>
    </row>
    <row r="13" spans="1:18" ht="13" x14ac:dyDescent="0.3">
      <c r="A13" s="40"/>
      <c r="B13" s="76" t="s">
        <v>49</v>
      </c>
      <c r="C13" s="42"/>
      <c r="D13" s="42"/>
      <c r="E13" s="85">
        <f>IF(NOT(Inputs!N13="Fixed Rate"),Inputs!N17,-PMT(Inputs!N12/12,Inputs!N11,Inputs!N10-Inputs!N16,-Inputs!N14))</f>
        <v>939.43768406980018</v>
      </c>
      <c r="F13" s="42"/>
      <c r="G13" s="42"/>
      <c r="H13" s="44"/>
      <c r="I13" s="42"/>
      <c r="J13" s="42"/>
      <c r="K13" s="42" t="s">
        <v>50</v>
      </c>
      <c r="L13" s="42"/>
      <c r="M13" s="42"/>
      <c r="N13" s="42"/>
      <c r="O13" s="42"/>
      <c r="P13" s="56">
        <f ca="1">IF(P9="NO",0,P5)</f>
        <v>0</v>
      </c>
      <c r="Q13" s="48"/>
      <c r="R13" s="100"/>
    </row>
    <row r="14" spans="1:18" ht="13" x14ac:dyDescent="0.3">
      <c r="A14" s="40"/>
      <c r="B14" s="42" t="s">
        <v>51</v>
      </c>
      <c r="C14" s="42"/>
      <c r="D14" s="42"/>
      <c r="E14" s="57">
        <f>Inputs!N18</f>
        <v>238</v>
      </c>
      <c r="F14" s="58" t="s">
        <v>52</v>
      </c>
      <c r="G14" s="42"/>
      <c r="H14" s="44"/>
      <c r="I14" s="42"/>
      <c r="J14" s="42"/>
      <c r="K14" s="42" t="s">
        <v>53</v>
      </c>
      <c r="L14" s="42"/>
      <c r="M14" s="42"/>
      <c r="N14" s="42"/>
      <c r="O14" s="42"/>
      <c r="P14" s="56">
        <f ca="1">IF(P9="NO",0,E27-P13)</f>
        <v>0</v>
      </c>
      <c r="Q14" s="48"/>
      <c r="R14" s="100"/>
    </row>
    <row r="15" spans="1:18" x14ac:dyDescent="0.25">
      <c r="A15" s="40"/>
      <c r="B15" s="42" t="s">
        <v>54</v>
      </c>
      <c r="C15" s="42"/>
      <c r="D15" s="42"/>
      <c r="E15" s="125">
        <f>Inputs!N19</f>
        <v>79</v>
      </c>
      <c r="F15" s="58" t="s">
        <v>52</v>
      </c>
      <c r="G15" s="42"/>
      <c r="H15" s="44"/>
      <c r="I15" s="42"/>
      <c r="J15" s="76" t="s">
        <v>55</v>
      </c>
      <c r="K15" s="42"/>
      <c r="L15" s="42"/>
      <c r="M15" s="42"/>
      <c r="N15" s="42"/>
      <c r="O15" s="42"/>
      <c r="P15" s="59"/>
      <c r="Q15" s="42"/>
      <c r="R15" s="100"/>
    </row>
    <row r="16" spans="1:18" x14ac:dyDescent="0.25">
      <c r="A16" s="40"/>
      <c r="B16" s="42" t="s">
        <v>56</v>
      </c>
      <c r="C16" s="42"/>
      <c r="D16" s="42"/>
      <c r="E16" s="68">
        <f>Inputs!N20</f>
        <v>0</v>
      </c>
      <c r="F16" s="58" t="s">
        <v>52</v>
      </c>
      <c r="G16" s="42"/>
      <c r="H16" s="44"/>
      <c r="I16" s="42"/>
      <c r="J16" s="42"/>
      <c r="K16" s="42" t="s">
        <v>50</v>
      </c>
      <c r="L16" s="42"/>
      <c r="M16" s="42"/>
      <c r="N16" s="42"/>
      <c r="O16" s="42"/>
      <c r="P16" s="123">
        <f ca="1">E27*0.7</f>
        <v>128161.89167884884</v>
      </c>
      <c r="Q16" s="42"/>
      <c r="R16" s="100"/>
    </row>
    <row r="17" spans="1:21" x14ac:dyDescent="0.25">
      <c r="A17" s="40"/>
      <c r="B17" s="43"/>
      <c r="C17" s="42"/>
      <c r="D17" s="42"/>
      <c r="E17" s="70"/>
      <c r="F17" s="60"/>
      <c r="G17" s="42"/>
      <c r="H17" s="44"/>
      <c r="I17" s="42"/>
      <c r="J17" s="42"/>
      <c r="K17" s="42" t="s">
        <v>53</v>
      </c>
      <c r="L17" s="42"/>
      <c r="M17" s="42"/>
      <c r="N17" s="42"/>
      <c r="O17" s="42"/>
      <c r="P17" s="56">
        <f ca="1">IF(P9="NO",0,E27*0.3)</f>
        <v>0</v>
      </c>
      <c r="Q17" s="42"/>
      <c r="R17" s="100"/>
    </row>
    <row r="18" spans="1:21" ht="13" x14ac:dyDescent="0.3">
      <c r="A18" s="40"/>
      <c r="B18" s="48" t="s">
        <v>38</v>
      </c>
      <c r="C18" s="48"/>
      <c r="D18" s="48"/>
      <c r="E18" s="69">
        <f>SUM(E13:E17)</f>
        <v>1256.4376840698001</v>
      </c>
      <c r="F18" s="58"/>
      <c r="G18" s="42"/>
      <c r="H18" s="44"/>
      <c r="I18" s="42"/>
      <c r="J18" s="62" t="s">
        <v>57</v>
      </c>
      <c r="K18" s="42"/>
      <c r="L18" s="42"/>
      <c r="M18" s="42"/>
      <c r="N18" s="42"/>
      <c r="O18" s="42"/>
      <c r="P18" s="195">
        <f ca="1">IF(P14&lt;P17,P14,P17)</f>
        <v>0</v>
      </c>
      <c r="Q18" s="42"/>
      <c r="R18" s="100"/>
    </row>
    <row r="19" spans="1:21" x14ac:dyDescent="0.25">
      <c r="A19" s="40"/>
      <c r="B19" s="42"/>
      <c r="C19" s="42"/>
      <c r="D19" s="42"/>
      <c r="E19" s="54"/>
      <c r="F19" s="42"/>
      <c r="G19" s="42"/>
      <c r="H19" s="44"/>
      <c r="I19" s="42"/>
      <c r="J19" s="42"/>
      <c r="K19" s="42"/>
      <c r="L19" s="42"/>
      <c r="M19" s="42"/>
      <c r="N19" s="42"/>
      <c r="O19" s="42"/>
      <c r="P19" s="42"/>
      <c r="Q19" s="42"/>
      <c r="R19" s="100"/>
      <c r="U19" s="211"/>
    </row>
    <row r="20" spans="1:21" ht="13" x14ac:dyDescent="0.3">
      <c r="A20" s="40"/>
      <c r="B20" s="48" t="s">
        <v>58</v>
      </c>
      <c r="C20" s="42"/>
      <c r="D20" s="42"/>
      <c r="E20" s="142">
        <f ca="1">Inputs!N11-ROUNDUP(DAYS360(Inputs!N15,Inputs!N26)/30,0)</f>
        <v>279</v>
      </c>
      <c r="F20" s="43" t="s">
        <v>59</v>
      </c>
      <c r="G20" s="42"/>
      <c r="H20" s="44"/>
      <c r="I20" s="42"/>
      <c r="J20" s="222" t="s">
        <v>60</v>
      </c>
      <c r="K20" s="42"/>
      <c r="L20" s="42"/>
      <c r="M20" s="42"/>
      <c r="N20" s="42"/>
      <c r="O20" s="42"/>
      <c r="P20" s="199">
        <f ca="1">IF(P9="YES",E27-P18,E27)</f>
        <v>183088.41668406979</v>
      </c>
      <c r="Q20" s="42"/>
      <c r="R20" s="100"/>
    </row>
    <row r="21" spans="1:21" ht="13" x14ac:dyDescent="0.3">
      <c r="A21" s="40"/>
      <c r="B21" s="48"/>
      <c r="C21" s="42"/>
      <c r="D21" s="42"/>
      <c r="E21" s="86"/>
      <c r="F21" s="43"/>
      <c r="G21" s="42"/>
      <c r="H21" s="44"/>
      <c r="I21" s="42"/>
      <c r="J21" s="42"/>
      <c r="K21" s="42"/>
      <c r="L21" s="42"/>
      <c r="M21" s="42"/>
      <c r="N21" s="42"/>
      <c r="O21" s="42"/>
      <c r="P21" s="42"/>
      <c r="Q21" s="42"/>
      <c r="R21" s="100"/>
    </row>
    <row r="22" spans="1:21" ht="13" x14ac:dyDescent="0.25">
      <c r="A22" s="40"/>
      <c r="B22" s="42"/>
      <c r="C22" s="42"/>
      <c r="D22" s="42"/>
      <c r="E22" s="42"/>
      <c r="F22" s="42"/>
      <c r="G22" s="42"/>
      <c r="H22" s="44"/>
      <c r="I22" s="238" t="s">
        <v>61</v>
      </c>
      <c r="J22" s="239"/>
      <c r="K22" s="239"/>
      <c r="L22" s="239"/>
      <c r="M22" s="239"/>
      <c r="N22" s="239"/>
      <c r="O22" s="239"/>
      <c r="P22" s="239"/>
      <c r="Q22" s="239"/>
      <c r="R22" s="240"/>
    </row>
    <row r="23" spans="1:21" ht="13" x14ac:dyDescent="0.25">
      <c r="A23" s="238" t="s">
        <v>62</v>
      </c>
      <c r="B23" s="239"/>
      <c r="C23" s="239"/>
      <c r="D23" s="239"/>
      <c r="E23" s="239"/>
      <c r="F23" s="239"/>
      <c r="G23" s="240"/>
      <c r="H23" s="44"/>
      <c r="I23" s="42"/>
      <c r="J23" s="63"/>
      <c r="K23" s="42"/>
      <c r="L23" s="42"/>
      <c r="M23" s="42"/>
      <c r="N23" s="42"/>
      <c r="O23" s="42"/>
      <c r="P23" s="42"/>
      <c r="Q23" s="42"/>
      <c r="R23" s="100"/>
    </row>
    <row r="24" spans="1:21" ht="13" x14ac:dyDescent="0.3">
      <c r="A24" s="40"/>
      <c r="B24" s="52"/>
      <c r="C24" s="42"/>
      <c r="D24" s="42"/>
      <c r="E24" s="54"/>
      <c r="F24" s="42"/>
      <c r="G24" s="42"/>
      <c r="H24" s="44"/>
      <c r="J24" s="163" t="s">
        <v>108</v>
      </c>
      <c r="K24" s="161"/>
      <c r="L24" s="161"/>
      <c r="M24" s="161"/>
      <c r="N24" s="161"/>
      <c r="O24" s="161"/>
      <c r="P24" s="161"/>
      <c r="Q24" s="161"/>
      <c r="R24" s="162"/>
    </row>
    <row r="25" spans="1:21" x14ac:dyDescent="0.25">
      <c r="A25" s="40"/>
      <c r="B25" s="76" t="s">
        <v>63</v>
      </c>
      <c r="C25" s="42"/>
      <c r="D25" s="42"/>
      <c r="E25" s="57">
        <f>Inputs!N28</f>
        <v>160000</v>
      </c>
      <c r="F25" s="76" t="s">
        <v>52</v>
      </c>
      <c r="G25" s="42"/>
      <c r="H25" s="44"/>
      <c r="I25" s="42"/>
      <c r="J25" s="76" t="s">
        <v>64</v>
      </c>
      <c r="K25" s="42"/>
      <c r="L25" s="42"/>
      <c r="M25" s="42"/>
      <c r="N25" s="42"/>
      <c r="O25" s="42"/>
      <c r="P25" s="216">
        <f>-PV(E35/12,E41,E13*0.8)</f>
        <v>214227.84325962374</v>
      </c>
      <c r="Q25" s="42"/>
      <c r="R25" s="100"/>
    </row>
    <row r="26" spans="1:21" x14ac:dyDescent="0.25">
      <c r="A26" s="40"/>
      <c r="B26" s="76" t="str">
        <f>IF(Inputs!N16&gt;0,"Arrears and Forbearance","Total Eligible Arrears")</f>
        <v>Total Eligible Arrears</v>
      </c>
      <c r="C26" s="42"/>
      <c r="D26" s="42"/>
      <c r="E26" s="57">
        <f ca="1">Inputs!$N$35</f>
        <v>23088.416684069798</v>
      </c>
      <c r="F26" s="75"/>
      <c r="G26" s="42"/>
      <c r="H26" s="44"/>
      <c r="J26" s="147" t="s">
        <v>66</v>
      </c>
      <c r="P26" s="155">
        <f ca="1">IF(P25&gt;P20,0,P20-P25)</f>
        <v>0</v>
      </c>
      <c r="Q26" s="42"/>
      <c r="R26" s="100"/>
    </row>
    <row r="27" spans="1:21" ht="13" x14ac:dyDescent="0.3">
      <c r="A27" s="40"/>
      <c r="B27" s="48" t="s">
        <v>65</v>
      </c>
      <c r="C27" s="48"/>
      <c r="D27" s="48"/>
      <c r="E27" s="61">
        <f ca="1">SUM(E25:E26)</f>
        <v>183088.41668406979</v>
      </c>
      <c r="F27" s="58"/>
      <c r="G27" s="42"/>
      <c r="H27" s="44"/>
      <c r="I27" s="42"/>
      <c r="Q27" s="50"/>
      <c r="R27" s="100"/>
    </row>
    <row r="28" spans="1:21" ht="13" x14ac:dyDescent="0.3">
      <c r="A28" s="40"/>
      <c r="B28" s="42"/>
      <c r="C28" s="42"/>
      <c r="D28" s="42"/>
      <c r="E28" s="54"/>
      <c r="F28" s="42"/>
      <c r="G28" s="42"/>
      <c r="H28" s="44"/>
      <c r="I28" s="42"/>
      <c r="J28" s="48" t="s">
        <v>67</v>
      </c>
      <c r="K28" s="42"/>
      <c r="L28" s="135"/>
      <c r="M28" s="136"/>
      <c r="N28" s="135"/>
      <c r="O28" s="134"/>
      <c r="P28" s="86"/>
      <c r="Q28" s="42"/>
      <c r="R28" s="100"/>
    </row>
    <row r="29" spans="1:21" x14ac:dyDescent="0.25">
      <c r="A29" s="40"/>
      <c r="B29" s="42"/>
      <c r="C29" s="42"/>
      <c r="D29" s="42"/>
      <c r="E29" s="54"/>
      <c r="F29" s="42"/>
      <c r="G29" s="42"/>
      <c r="H29" s="44"/>
      <c r="I29" s="42"/>
      <c r="J29" s="76"/>
      <c r="K29" s="76" t="s">
        <v>69</v>
      </c>
      <c r="L29" s="42"/>
      <c r="M29" s="42"/>
      <c r="N29" s="42"/>
      <c r="O29" s="42"/>
      <c r="P29" s="123">
        <f ca="1">IF(P20-P5*0.8&lt;0,0,P20-P5*0.8)</f>
        <v>0</v>
      </c>
      <c r="Q29" s="42"/>
      <c r="R29" s="100"/>
    </row>
    <row r="30" spans="1:21" ht="12.75" customHeight="1" x14ac:dyDescent="0.25">
      <c r="A30" s="238" t="s">
        <v>68</v>
      </c>
      <c r="B30" s="239"/>
      <c r="C30" s="239"/>
      <c r="D30" s="239"/>
      <c r="E30" s="239"/>
      <c r="F30" s="239"/>
      <c r="G30" s="240"/>
      <c r="H30" s="44"/>
      <c r="I30" s="42"/>
      <c r="J30" s="42"/>
      <c r="K30" s="76" t="s">
        <v>70</v>
      </c>
      <c r="L30" s="42"/>
      <c r="M30" s="42"/>
      <c r="N30" s="42"/>
      <c r="O30" s="42"/>
      <c r="P30" s="155">
        <f ca="1">P6*0.3</f>
        <v>54926.525005220938</v>
      </c>
      <c r="Q30" s="42"/>
      <c r="R30" s="100"/>
      <c r="T30" s="210"/>
    </row>
    <row r="31" spans="1:21" x14ac:dyDescent="0.25">
      <c r="A31" s="40"/>
      <c r="B31" s="42"/>
      <c r="C31" s="42"/>
      <c r="D31" s="42"/>
      <c r="E31" s="54"/>
      <c r="F31" s="42"/>
      <c r="G31" s="42"/>
      <c r="H31" s="44"/>
      <c r="I31" s="42"/>
      <c r="J31" s="76" t="s">
        <v>71</v>
      </c>
      <c r="K31" s="76"/>
      <c r="L31" s="76"/>
      <c r="M31" s="76"/>
      <c r="N31" s="42"/>
      <c r="O31" s="42"/>
      <c r="P31" s="155">
        <f ca="1">MIN(P29,P30-P18,P26-P18)</f>
        <v>0</v>
      </c>
      <c r="Q31" s="42"/>
      <c r="R31" s="100"/>
    </row>
    <row r="32" spans="1:21" ht="13" x14ac:dyDescent="0.3">
      <c r="A32" s="40"/>
      <c r="B32" s="13" t="s">
        <v>107</v>
      </c>
      <c r="C32" s="1"/>
      <c r="D32" s="1"/>
      <c r="E32" s="1"/>
      <c r="F32" s="48"/>
      <c r="G32" s="76"/>
      <c r="H32" s="217"/>
      <c r="I32" s="42"/>
      <c r="Q32" s="97"/>
      <c r="R32" s="100"/>
    </row>
    <row r="33" spans="1:22" ht="13.5" x14ac:dyDescent="0.3">
      <c r="A33" s="40"/>
      <c r="B33" s="101" t="str">
        <f>IF(Owner=1,"Fannie Mae Mod Rate",IF(Owner=2,"Freddie Mac Mod Rate",0))</f>
        <v>Fannie Mae Mod Rate</v>
      </c>
      <c r="C33" s="218"/>
      <c r="D33" s="1"/>
      <c r="E33" s="144">
        <f>Inputs!N6</f>
        <v>2.8750000000000001E-2</v>
      </c>
      <c r="F33" s="48"/>
      <c r="G33" s="76"/>
      <c r="H33" s="217"/>
      <c r="I33" s="236" t="str">
        <f ca="1">IF(-PMT(E35/12,E41,P20-P31)&gt;E13,"P&amp;I Reduction Not Possible; Borrower Ineligible","MODIFICATION RESULTS")</f>
        <v>MODIFICATION RESULTS</v>
      </c>
      <c r="J33" s="236"/>
      <c r="K33" s="236"/>
      <c r="L33" s="236"/>
      <c r="M33" s="236"/>
      <c r="N33" s="236"/>
      <c r="O33" s="236"/>
      <c r="P33" s="237"/>
      <c r="Q33" s="236"/>
      <c r="R33" s="236"/>
      <c r="V33" s="210"/>
    </row>
    <row r="34" spans="1:22" ht="13" x14ac:dyDescent="0.3">
      <c r="A34" s="40"/>
      <c r="B34" s="73" t="str">
        <f>IF(RateType="Fixed Rate","Current Rate",Inputs!K14)</f>
        <v>Current Rate</v>
      </c>
      <c r="C34" s="2"/>
      <c r="D34" s="2"/>
      <c r="E34" s="146">
        <f>IF(RateType="Fixed Rate",Inputs!N12,Inputs!N14)</f>
        <v>0.05</v>
      </c>
      <c r="F34" s="48"/>
      <c r="G34" s="76"/>
      <c r="H34" s="217"/>
      <c r="I34" s="157"/>
      <c r="J34" s="157"/>
      <c r="K34" s="157"/>
      <c r="L34" s="157"/>
      <c r="M34" s="157"/>
      <c r="N34" s="157"/>
      <c r="O34" s="157"/>
      <c r="P34" s="159"/>
      <c r="Q34" s="157"/>
      <c r="R34" s="158"/>
    </row>
    <row r="35" spans="1:22" ht="13" x14ac:dyDescent="0.3">
      <c r="A35" s="40"/>
      <c r="B35" s="48" t="s">
        <v>72</v>
      </c>
      <c r="C35" s="52"/>
      <c r="D35" s="42"/>
      <c r="E35" s="146">
        <f>IF(E33&gt;=E34,E34,E33)</f>
        <v>2.8750000000000001E-2</v>
      </c>
      <c r="F35" s="48"/>
      <c r="G35" s="76"/>
      <c r="H35" s="217"/>
      <c r="I35" s="42"/>
      <c r="J35" s="76" t="s">
        <v>73</v>
      </c>
      <c r="K35" s="42"/>
      <c r="L35" s="42"/>
      <c r="M35" s="42"/>
      <c r="N35" s="42"/>
      <c r="O35" s="42"/>
      <c r="P35" s="221">
        <f ca="1">-PMT(E35/12,480,P37-P38)</f>
        <v>642.30738836779631</v>
      </c>
      <c r="Q35" s="43"/>
      <c r="R35" s="100"/>
    </row>
    <row r="36" spans="1:22" ht="13" x14ac:dyDescent="0.3">
      <c r="A36" s="40"/>
      <c r="B36" s="42"/>
      <c r="C36" s="42"/>
      <c r="D36" s="42"/>
      <c r="E36" s="42"/>
      <c r="F36" s="48"/>
      <c r="G36" s="42"/>
      <c r="H36" s="217"/>
      <c r="I36" s="42"/>
      <c r="J36" s="76" t="s">
        <v>74</v>
      </c>
      <c r="K36" s="42"/>
      <c r="L36" s="42"/>
      <c r="M36" s="42"/>
      <c r="N36" s="42"/>
      <c r="O36" s="42"/>
      <c r="P36" s="220">
        <f ca="1">PIREDUCTION+SUM(E14:E16)</f>
        <v>959.30738836779631</v>
      </c>
      <c r="Q36" s="43"/>
      <c r="R36" s="100"/>
    </row>
    <row r="37" spans="1:22" ht="13" x14ac:dyDescent="0.3">
      <c r="A37" s="40"/>
      <c r="B37" s="48"/>
      <c r="C37" s="48"/>
      <c r="D37" s="48"/>
      <c r="E37" s="64"/>
      <c r="F37" s="48"/>
      <c r="G37" s="42"/>
      <c r="H37" s="44"/>
      <c r="I37" s="42"/>
      <c r="J37" s="148" t="s">
        <v>75</v>
      </c>
      <c r="K37" s="42"/>
      <c r="L37" s="42"/>
      <c r="M37" s="42"/>
      <c r="N37" s="42"/>
      <c r="O37" s="42"/>
      <c r="P37" s="220">
        <f ca="1">UPB</f>
        <v>183088.41668406979</v>
      </c>
      <c r="Q37" s="43"/>
      <c r="R37" s="100"/>
    </row>
    <row r="38" spans="1:22" ht="13" x14ac:dyDescent="0.3">
      <c r="A38" s="40"/>
      <c r="B38" s="48"/>
      <c r="C38" s="42"/>
      <c r="D38" s="42"/>
      <c r="E38" s="42"/>
      <c r="F38" s="42"/>
      <c r="G38" s="42"/>
      <c r="H38" s="44"/>
      <c r="I38" s="42"/>
      <c r="J38" s="148" t="s">
        <v>77</v>
      </c>
      <c r="K38" s="42"/>
      <c r="L38" s="42"/>
      <c r="M38" s="42"/>
      <c r="N38" s="42"/>
      <c r="O38" s="42"/>
      <c r="P38" s="220">
        <f ca="1">P18+P31</f>
        <v>0</v>
      </c>
      <c r="Q38" s="98"/>
      <c r="R38" s="100"/>
    </row>
    <row r="39" spans="1:22" ht="13" x14ac:dyDescent="0.25">
      <c r="A39" s="238" t="s">
        <v>76</v>
      </c>
      <c r="B39" s="239"/>
      <c r="C39" s="239"/>
      <c r="D39" s="239"/>
      <c r="E39" s="239"/>
      <c r="F39" s="239"/>
      <c r="G39" s="240"/>
      <c r="H39" s="44"/>
      <c r="I39" s="42"/>
      <c r="J39" s="76" t="s">
        <v>78</v>
      </c>
      <c r="K39" s="42"/>
      <c r="L39" s="42"/>
      <c r="M39" s="42"/>
      <c r="N39" s="42"/>
      <c r="O39" s="42"/>
      <c r="P39" s="153">
        <f>E35</f>
        <v>2.8750000000000001E-2</v>
      </c>
      <c r="Q39" s="43"/>
      <c r="R39" s="100"/>
    </row>
    <row r="40" spans="1:22" ht="12.75" customHeight="1" x14ac:dyDescent="0.35">
      <c r="A40" s="40"/>
      <c r="B40" s="42"/>
      <c r="C40" s="42"/>
      <c r="D40" s="42"/>
      <c r="E40" s="65"/>
      <c r="F40" s="42"/>
      <c r="G40" s="42"/>
      <c r="H40" s="44"/>
      <c r="I40" s="42"/>
      <c r="J40" s="76" t="s">
        <v>81</v>
      </c>
      <c r="K40" s="42"/>
      <c r="L40" s="42"/>
      <c r="M40" s="42"/>
      <c r="N40" s="42"/>
      <c r="O40" s="42"/>
      <c r="P40" s="154">
        <v>480</v>
      </c>
      <c r="Q40" s="42"/>
      <c r="R40" s="100"/>
    </row>
    <row r="41" spans="1:22" ht="13" x14ac:dyDescent="0.3">
      <c r="A41" s="40"/>
      <c r="B41" s="48" t="s">
        <v>79</v>
      </c>
      <c r="C41" s="42"/>
      <c r="D41" s="42"/>
      <c r="E41" s="124">
        <v>480</v>
      </c>
      <c r="F41" s="76" t="s">
        <v>80</v>
      </c>
      <c r="G41" s="42"/>
      <c r="H41" s="44"/>
      <c r="I41" s="42"/>
      <c r="J41" s="76"/>
      <c r="K41" s="42"/>
      <c r="L41" s="42"/>
      <c r="M41" s="42"/>
      <c r="N41" s="42"/>
      <c r="O41" s="42"/>
      <c r="P41" s="219"/>
      <c r="Q41" s="42"/>
      <c r="R41" s="100"/>
    </row>
    <row r="42" spans="1:22" ht="13" x14ac:dyDescent="0.3">
      <c r="A42" s="40"/>
      <c r="B42" s="42"/>
      <c r="C42" s="42"/>
      <c r="D42" s="42"/>
      <c r="E42" s="42"/>
      <c r="F42" s="42"/>
      <c r="G42" s="42"/>
      <c r="H42" s="44"/>
      <c r="I42" s="42"/>
      <c r="J42" s="52"/>
      <c r="K42" s="42"/>
      <c r="L42" s="42"/>
      <c r="M42" s="42"/>
      <c r="N42" s="42"/>
      <c r="O42" s="42"/>
      <c r="P42" s="42"/>
      <c r="Q42" s="42"/>
      <c r="R42" s="100"/>
    </row>
    <row r="43" spans="1:22" x14ac:dyDescent="0.25">
      <c r="A43" s="126"/>
      <c r="B43" s="66"/>
      <c r="C43" s="66"/>
      <c r="D43" s="66"/>
      <c r="E43" s="66"/>
      <c r="F43" s="66"/>
      <c r="G43" s="66"/>
      <c r="H43" s="44"/>
      <c r="I43" s="66"/>
      <c r="J43" s="66"/>
      <c r="K43" s="66"/>
      <c r="L43" s="66"/>
      <c r="M43" s="66"/>
      <c r="N43" s="66"/>
      <c r="O43" s="66"/>
      <c r="P43" s="66"/>
      <c r="Q43" s="99" t="s">
        <v>82</v>
      </c>
      <c r="R43" s="102"/>
    </row>
  </sheetData>
  <customSheetViews>
    <customSheetView guid="{0367687A-2E80-4414-9E57-D64905950517}" showGridLines="0">
      <selection activeCell="D45" sqref="D45"/>
    </customSheetView>
  </customSheetViews>
  <mergeCells count="8">
    <mergeCell ref="A23:G23"/>
    <mergeCell ref="A30:G30"/>
    <mergeCell ref="A39:G39"/>
    <mergeCell ref="I3:R3"/>
    <mergeCell ref="A1:R1"/>
    <mergeCell ref="I22:R22"/>
    <mergeCell ref="I33:R33"/>
    <mergeCell ref="C4:F4"/>
  </mergeCells>
  <phoneticPr fontId="2" type="noConversion"/>
  <conditionalFormatting sqref="J11:P18">
    <cfRule type="expression" dxfId="7" priority="4">
      <formula>IF($P$9="NO",1,0)</formula>
    </cfRule>
  </conditionalFormatting>
  <conditionalFormatting sqref="J35:P41">
    <cfRule type="expression" dxfId="6" priority="2">
      <formula>IF(-PMT($E$35/12,$E$41,$P$20-$P$31)&gt;$E$13,1,0)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C81B9BD-CF95-4A6F-9126-378D6CA44C76}">
            <xm:f>IF(AND(Inputs!$N$27&lt;19,Inputs!$N$25&gt;=DATE(2020,1,1)),0,1)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A2:R44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89CC-F02B-4FC1-9461-D827952A9727}">
  <dimension ref="A1"/>
  <sheetViews>
    <sheetView workbookViewId="0">
      <selection activeCell="B3" sqref="B3"/>
    </sheetView>
  </sheetViews>
  <sheetFormatPr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autoPageBreaks="0"/>
  </sheetPr>
  <dimension ref="A1:R43"/>
  <sheetViews>
    <sheetView showGridLines="0" zoomScaleNormal="100" workbookViewId="0">
      <selection activeCell="K13" sqref="K13"/>
    </sheetView>
  </sheetViews>
  <sheetFormatPr defaultColWidth="9.1796875" defaultRowHeight="12.5" x14ac:dyDescent="0.25"/>
  <cols>
    <col min="1" max="1" width="3" style="165" customWidth="1"/>
    <col min="2" max="3" width="9.1796875" style="165"/>
    <col min="4" max="4" width="12.7265625" style="165" customWidth="1"/>
    <col min="5" max="5" width="15.453125" style="165" customWidth="1"/>
    <col min="6" max="6" width="8.81640625" style="165" customWidth="1"/>
    <col min="7" max="7" width="10" style="165" customWidth="1"/>
    <col min="8" max="8" width="4.453125" style="165" customWidth="1"/>
    <col min="9" max="9" width="6.453125" style="165" customWidth="1"/>
    <col min="10" max="10" width="6.26953125" style="165" customWidth="1"/>
    <col min="11" max="11" width="12.81640625" style="165" customWidth="1"/>
    <col min="12" max="12" width="7.453125" style="165" customWidth="1"/>
    <col min="13" max="13" width="3.1796875" style="165" customWidth="1"/>
    <col min="14" max="14" width="4.7265625" style="165" customWidth="1"/>
    <col min="15" max="15" width="10.453125" style="165" customWidth="1"/>
    <col min="16" max="16" width="17.7265625" style="165" customWidth="1"/>
    <col min="17" max="17" width="2.1796875" style="165" customWidth="1"/>
    <col min="18" max="18" width="2.7265625" style="209" customWidth="1"/>
    <col min="19" max="16384" width="9.1796875" style="165"/>
  </cols>
  <sheetData>
    <row r="1" spans="1:18" ht="17.5" x14ac:dyDescent="0.35">
      <c r="A1" s="252" t="str">
        <f>IF(Owner=1,"FANNIE MAE STANDARD MODIFICATION","FREDDIE MAC STANDARD MODIFICATION")</f>
        <v>FANNIE MAE STANDARD MODIFICATION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4"/>
    </row>
    <row r="2" spans="1:18" x14ac:dyDescent="0.25">
      <c r="A2" s="166"/>
      <c r="B2" s="167" t="str">
        <f>IF(Q43="MFY's Proprietary Waterfall Worksheet for HAMP Tiers 1 and 2","","MFY's Proprietary Waterfall Worksheet for HAMP Tiers 1 and 2")</f>
        <v>MFY's Proprietary Waterfall Worksheet for HAMP Tiers 1 and 2</v>
      </c>
      <c r="C2" s="168"/>
      <c r="D2" s="168"/>
      <c r="E2" s="168"/>
      <c r="F2" s="168"/>
      <c r="G2" s="168"/>
      <c r="H2" s="169"/>
      <c r="I2" s="168"/>
      <c r="J2" s="168"/>
      <c r="K2" s="168"/>
      <c r="L2" s="168"/>
      <c r="M2" s="168"/>
      <c r="N2" s="168"/>
      <c r="O2" s="168"/>
      <c r="P2" s="168"/>
      <c r="Q2" s="168"/>
      <c r="R2" s="170"/>
    </row>
    <row r="3" spans="1:18" ht="12.75" customHeight="1" x14ac:dyDescent="0.25">
      <c r="A3" s="171"/>
      <c r="B3" s="172"/>
      <c r="C3" s="173"/>
      <c r="D3" s="174"/>
      <c r="E3" s="173"/>
      <c r="F3" s="173"/>
      <c r="G3" s="173"/>
      <c r="H3" s="175"/>
      <c r="I3" s="246" t="str">
        <f ca="1">IF(UPB&lt;0.8*Value,"MTMLTV&lt;80% - NO FORBEARANCE","FORBEAR PRINCIPAL")</f>
        <v>MTMLTV&lt;80% - NO FORBEARANCE</v>
      </c>
      <c r="J3" s="247"/>
      <c r="K3" s="247"/>
      <c r="L3" s="247"/>
      <c r="M3" s="247"/>
      <c r="N3" s="247"/>
      <c r="O3" s="247"/>
      <c r="P3" s="247"/>
      <c r="Q3" s="247"/>
      <c r="R3" s="248"/>
    </row>
    <row r="4" spans="1:18" ht="13" x14ac:dyDescent="0.25">
      <c r="A4" s="171"/>
      <c r="B4" s="173"/>
      <c r="C4" s="173"/>
      <c r="D4" s="255" t="s">
        <v>0</v>
      </c>
      <c r="E4" s="255"/>
      <c r="F4" s="173"/>
      <c r="G4" s="173"/>
      <c r="H4" s="175"/>
      <c r="I4" s="173"/>
      <c r="J4" s="173"/>
      <c r="K4" s="173"/>
      <c r="L4" s="173"/>
      <c r="M4" s="173"/>
      <c r="N4" s="173"/>
      <c r="O4" s="173"/>
      <c r="P4" s="173"/>
      <c r="Q4" s="173"/>
      <c r="R4" s="176"/>
    </row>
    <row r="5" spans="1:18" x14ac:dyDescent="0.25">
      <c r="A5" s="171"/>
      <c r="B5" s="173"/>
      <c r="C5" s="173"/>
      <c r="D5" s="177" t="s">
        <v>2</v>
      </c>
      <c r="E5" s="178" t="s">
        <v>3</v>
      </c>
      <c r="F5" s="173"/>
      <c r="G5" s="173"/>
      <c r="H5" s="175"/>
      <c r="I5" s="173"/>
      <c r="J5" s="173" t="s">
        <v>42</v>
      </c>
      <c r="K5" s="173"/>
      <c r="L5" s="173"/>
      <c r="M5" s="173"/>
      <c r="N5" s="173"/>
      <c r="O5" s="173"/>
      <c r="P5" s="214">
        <f>Inputs!N7</f>
        <v>250000</v>
      </c>
      <c r="Q5" s="173"/>
      <c r="R5" s="176"/>
    </row>
    <row r="6" spans="1:18" x14ac:dyDescent="0.25">
      <c r="A6" s="171"/>
      <c r="B6" s="179"/>
      <c r="C6" s="179"/>
      <c r="D6" s="180" t="s">
        <v>4</v>
      </c>
      <c r="E6" s="181" t="s">
        <v>5</v>
      </c>
      <c r="F6" s="173"/>
      <c r="G6" s="173"/>
      <c r="H6" s="175"/>
      <c r="I6" s="173"/>
      <c r="J6" s="182" t="s">
        <v>43</v>
      </c>
      <c r="K6" s="173"/>
      <c r="L6" s="173"/>
      <c r="M6" s="173"/>
      <c r="N6" s="173"/>
      <c r="O6" s="173"/>
      <c r="P6" s="46">
        <f ca="1">UPB</f>
        <v>183088.41668406979</v>
      </c>
      <c r="Q6" s="173"/>
      <c r="R6" s="183"/>
    </row>
    <row r="7" spans="1:18" ht="13" x14ac:dyDescent="0.3">
      <c r="A7" s="171"/>
      <c r="B7" s="173"/>
      <c r="C7" s="173"/>
      <c r="D7" s="173"/>
      <c r="E7" s="173"/>
      <c r="F7" s="173"/>
      <c r="G7" s="173"/>
      <c r="H7" s="175"/>
      <c r="I7" s="173"/>
      <c r="J7" s="173" t="s">
        <v>44</v>
      </c>
      <c r="K7" s="173"/>
      <c r="L7" s="173"/>
      <c r="M7" s="173"/>
      <c r="N7" s="173"/>
      <c r="O7" s="173"/>
      <c r="P7" s="47">
        <f ca="1">P6/P5</f>
        <v>0.73235366673627911</v>
      </c>
      <c r="Q7" s="185"/>
      <c r="R7" s="183"/>
    </row>
    <row r="8" spans="1:18" ht="13" x14ac:dyDescent="0.3">
      <c r="A8" s="171"/>
      <c r="B8" s="186" t="s">
        <v>39</v>
      </c>
      <c r="C8" s="186"/>
      <c r="D8" s="186"/>
      <c r="E8" s="49">
        <f>GMI</f>
        <v>3291</v>
      </c>
      <c r="F8" s="173"/>
      <c r="G8" s="173"/>
      <c r="H8" s="175"/>
      <c r="I8" s="173"/>
      <c r="J8" s="173"/>
      <c r="K8" s="173"/>
      <c r="L8" s="173"/>
      <c r="M8" s="173"/>
      <c r="N8" s="173"/>
      <c r="O8" s="173"/>
      <c r="P8" s="187"/>
      <c r="Q8" s="173"/>
      <c r="R8" s="183"/>
    </row>
    <row r="9" spans="1:18" ht="13" x14ac:dyDescent="0.3">
      <c r="A9" s="171"/>
      <c r="B9" s="173"/>
      <c r="C9" s="173"/>
      <c r="D9" s="173"/>
      <c r="E9" s="173"/>
      <c r="F9" s="173"/>
      <c r="G9" s="173"/>
      <c r="H9" s="175"/>
      <c r="I9" s="173"/>
      <c r="J9" s="186" t="s">
        <v>83</v>
      </c>
      <c r="K9" s="173"/>
      <c r="L9" s="173"/>
      <c r="M9" s="173"/>
      <c r="N9" s="173"/>
      <c r="O9" s="173"/>
      <c r="P9" s="188" t="str">
        <f ca="1">IF(P7&gt;1.15,"YES","NO")</f>
        <v>NO</v>
      </c>
      <c r="Q9" s="173"/>
      <c r="R9" s="183"/>
    </row>
    <row r="10" spans="1:18" ht="13" x14ac:dyDescent="0.3">
      <c r="A10" s="171"/>
      <c r="B10" s="173"/>
      <c r="C10" s="173"/>
      <c r="D10" s="173"/>
      <c r="E10" s="173"/>
      <c r="F10" s="173"/>
      <c r="G10" s="173"/>
      <c r="H10" s="175"/>
      <c r="I10" s="173"/>
      <c r="J10" s="173"/>
      <c r="K10" s="189" t="str">
        <f ca="1">IF(P9="No","Proceed to Step 5","")</f>
        <v>Proceed to Step 5</v>
      </c>
      <c r="L10" s="189"/>
      <c r="M10" s="189"/>
      <c r="N10" s="173"/>
      <c r="O10" s="173"/>
      <c r="P10" s="173"/>
      <c r="Q10" s="173"/>
      <c r="R10" s="176"/>
    </row>
    <row r="11" spans="1:18" ht="15.5" x14ac:dyDescent="0.35">
      <c r="A11" s="171"/>
      <c r="B11" s="190" t="s">
        <v>46</v>
      </c>
      <c r="C11" s="173"/>
      <c r="D11" s="173"/>
      <c r="E11" s="54"/>
      <c r="F11" s="173"/>
      <c r="G11" s="173"/>
      <c r="H11" s="175"/>
      <c r="I11" s="173"/>
      <c r="J11" s="186" t="s">
        <v>47</v>
      </c>
      <c r="K11" s="186"/>
      <c r="L11" s="186"/>
      <c r="M11" s="186"/>
      <c r="N11" s="186"/>
      <c r="O11" s="186"/>
      <c r="P11" s="55"/>
      <c r="Q11" s="173"/>
      <c r="R11" s="176"/>
    </row>
    <row r="12" spans="1:18" ht="13" x14ac:dyDescent="0.3">
      <c r="A12" s="171"/>
      <c r="B12" s="173"/>
      <c r="C12" s="173"/>
      <c r="D12" s="173"/>
      <c r="E12" s="54"/>
      <c r="F12" s="173"/>
      <c r="G12" s="173"/>
      <c r="H12" s="175"/>
      <c r="I12" s="173"/>
      <c r="J12" s="182" t="s">
        <v>84</v>
      </c>
      <c r="K12" s="186"/>
      <c r="L12" s="186"/>
      <c r="M12" s="186"/>
      <c r="N12" s="186"/>
      <c r="O12" s="186"/>
      <c r="P12" s="186"/>
      <c r="Q12" s="173"/>
      <c r="R12" s="176"/>
    </row>
    <row r="13" spans="1:18" ht="13" x14ac:dyDescent="0.3">
      <c r="A13" s="171"/>
      <c r="B13" s="182" t="s">
        <v>49</v>
      </c>
      <c r="C13" s="173"/>
      <c r="D13" s="173"/>
      <c r="E13" s="85">
        <f>'COVID Flex'!$E$13</f>
        <v>939.43768406980018</v>
      </c>
      <c r="F13" s="173"/>
      <c r="G13" s="173"/>
      <c r="H13" s="175"/>
      <c r="I13" s="173"/>
      <c r="J13" s="173"/>
      <c r="K13" s="173" t="s">
        <v>50</v>
      </c>
      <c r="L13" s="173"/>
      <c r="M13" s="173"/>
      <c r="N13" s="173"/>
      <c r="O13" s="173"/>
      <c r="P13" s="56" t="str">
        <f ca="1">IF(P9="NO","",P5*1.15)</f>
        <v/>
      </c>
      <c r="Q13" s="186"/>
      <c r="R13" s="176"/>
    </row>
    <row r="14" spans="1:18" ht="13" x14ac:dyDescent="0.3">
      <c r="A14" s="171"/>
      <c r="B14" s="173" t="s">
        <v>51</v>
      </c>
      <c r="C14" s="173"/>
      <c r="D14" s="173"/>
      <c r="E14" s="57">
        <f>'COVID Flex'!$E$14</f>
        <v>238</v>
      </c>
      <c r="F14" s="191" t="s">
        <v>52</v>
      </c>
      <c r="G14" s="173"/>
      <c r="H14" s="175"/>
      <c r="I14" s="173"/>
      <c r="J14" s="173"/>
      <c r="K14" s="173" t="s">
        <v>53</v>
      </c>
      <c r="L14" s="173"/>
      <c r="M14" s="173"/>
      <c r="N14" s="173"/>
      <c r="O14" s="173"/>
      <c r="P14" s="56" t="str">
        <f ca="1">IF(P9="NO","",E27-P13)</f>
        <v/>
      </c>
      <c r="Q14" s="186"/>
      <c r="R14" s="176"/>
    </row>
    <row r="15" spans="1:18" x14ac:dyDescent="0.25">
      <c r="A15" s="171"/>
      <c r="B15" s="173" t="s">
        <v>54</v>
      </c>
      <c r="C15" s="173"/>
      <c r="D15" s="173"/>
      <c r="E15" s="57">
        <f>'COVID Flex'!$E$15</f>
        <v>79</v>
      </c>
      <c r="F15" s="191" t="s">
        <v>52</v>
      </c>
      <c r="G15" s="173"/>
      <c r="H15" s="175"/>
      <c r="I15" s="173"/>
      <c r="J15" s="182" t="s">
        <v>55</v>
      </c>
      <c r="K15" s="173"/>
      <c r="L15" s="173"/>
      <c r="M15" s="173"/>
      <c r="N15" s="173"/>
      <c r="O15" s="173"/>
      <c r="P15" s="59"/>
      <c r="Q15" s="173"/>
      <c r="R15" s="176"/>
    </row>
    <row r="16" spans="1:18" x14ac:dyDescent="0.25">
      <c r="A16" s="171"/>
      <c r="B16" s="173" t="s">
        <v>56</v>
      </c>
      <c r="C16" s="173"/>
      <c r="D16" s="173"/>
      <c r="E16" s="68">
        <f>'COVID Flex'!$E$16</f>
        <v>0</v>
      </c>
      <c r="F16" s="191" t="s">
        <v>52</v>
      </c>
      <c r="G16" s="173"/>
      <c r="H16" s="175"/>
      <c r="I16" s="173"/>
      <c r="J16" s="173"/>
      <c r="K16" s="173" t="s">
        <v>50</v>
      </c>
      <c r="L16" s="173"/>
      <c r="M16" s="173"/>
      <c r="N16" s="173"/>
      <c r="O16" s="173"/>
      <c r="P16" s="192">
        <f ca="1">E27*0.7</f>
        <v>128161.89167884884</v>
      </c>
      <c r="Q16" s="173"/>
      <c r="R16" s="176"/>
    </row>
    <row r="17" spans="1:18" x14ac:dyDescent="0.25">
      <c r="A17" s="171"/>
      <c r="B17" s="174"/>
      <c r="C17" s="173"/>
      <c r="D17" s="173"/>
      <c r="E17" s="70"/>
      <c r="F17" s="193"/>
      <c r="G17" s="173"/>
      <c r="H17" s="175"/>
      <c r="I17" s="173"/>
      <c r="J17" s="173"/>
      <c r="K17" s="173" t="s">
        <v>53</v>
      </c>
      <c r="L17" s="173"/>
      <c r="M17" s="173"/>
      <c r="N17" s="173"/>
      <c r="O17" s="173"/>
      <c r="P17" s="56" t="str">
        <f ca="1">IF(P9="NO","",E27*0.3)</f>
        <v/>
      </c>
      <c r="Q17" s="173"/>
      <c r="R17" s="176"/>
    </row>
    <row r="18" spans="1:18" ht="13" x14ac:dyDescent="0.3">
      <c r="A18" s="171"/>
      <c r="B18" s="186" t="s">
        <v>38</v>
      </c>
      <c r="C18" s="186"/>
      <c r="D18" s="186"/>
      <c r="E18" s="69">
        <f>SUM(E13:E17)</f>
        <v>1256.4376840698001</v>
      </c>
      <c r="F18" s="191"/>
      <c r="G18" s="173"/>
      <c r="H18" s="175"/>
      <c r="I18" s="173"/>
      <c r="J18" s="194" t="s">
        <v>57</v>
      </c>
      <c r="K18" s="173"/>
      <c r="L18" s="173"/>
      <c r="M18" s="173"/>
      <c r="N18" s="173"/>
      <c r="O18" s="173"/>
      <c r="P18" s="195" t="str">
        <f ca="1">IF(P14&lt;P17,P14,P17)</f>
        <v/>
      </c>
      <c r="Q18" s="173"/>
      <c r="R18" s="176"/>
    </row>
    <row r="19" spans="1:18" x14ac:dyDescent="0.25">
      <c r="A19" s="171"/>
      <c r="B19" s="173"/>
      <c r="C19" s="173"/>
      <c r="D19" s="173"/>
      <c r="E19" s="54"/>
      <c r="F19" s="173"/>
      <c r="G19" s="173"/>
      <c r="H19" s="175"/>
      <c r="I19" s="173"/>
      <c r="J19" s="173"/>
      <c r="K19" s="173"/>
      <c r="L19" s="173"/>
      <c r="M19" s="173"/>
      <c r="N19" s="173"/>
      <c r="O19" s="173"/>
      <c r="P19" s="173"/>
      <c r="Q19" s="173"/>
      <c r="R19" s="176"/>
    </row>
    <row r="20" spans="1:18" ht="13" x14ac:dyDescent="0.3">
      <c r="A20" s="171"/>
      <c r="B20" s="186" t="s">
        <v>58</v>
      </c>
      <c r="C20" s="173"/>
      <c r="D20" s="173"/>
      <c r="E20" s="196">
        <f ca="1">'COVID Flex'!$E$20</f>
        <v>279</v>
      </c>
      <c r="F20" s="174" t="s">
        <v>59</v>
      </c>
      <c r="G20" s="173"/>
      <c r="H20" s="175"/>
      <c r="I20" s="173"/>
      <c r="J20" s="197" t="s">
        <v>60</v>
      </c>
      <c r="K20" s="173"/>
      <c r="L20" s="173"/>
      <c r="M20" s="173"/>
      <c r="N20" s="173"/>
      <c r="O20" s="173"/>
      <c r="P20" s="61">
        <f ca="1">IF(P9="YES",E27-P18,E27)</f>
        <v>183088.41668406979</v>
      </c>
      <c r="Q20" s="173"/>
      <c r="R20" s="176"/>
    </row>
    <row r="21" spans="1:18" ht="13" x14ac:dyDescent="0.3">
      <c r="A21" s="171"/>
      <c r="B21" s="186"/>
      <c r="C21" s="173"/>
      <c r="D21" s="173"/>
      <c r="E21" s="198"/>
      <c r="F21" s="174"/>
      <c r="G21" s="173"/>
      <c r="H21" s="175"/>
      <c r="I21" s="173"/>
      <c r="J21" s="173"/>
      <c r="K21" s="173"/>
      <c r="L21" s="173"/>
      <c r="M21" s="173"/>
      <c r="N21" s="173"/>
      <c r="O21" s="173"/>
      <c r="P21" s="173"/>
      <c r="Q21" s="173"/>
      <c r="R21" s="176"/>
    </row>
    <row r="22" spans="1:18" ht="13" x14ac:dyDescent="0.25">
      <c r="A22" s="171"/>
      <c r="B22" s="173"/>
      <c r="C22" s="173"/>
      <c r="D22" s="173"/>
      <c r="E22" s="173"/>
      <c r="F22" s="173"/>
      <c r="G22" s="173"/>
      <c r="H22" s="175"/>
      <c r="I22" s="246" t="s">
        <v>85</v>
      </c>
      <c r="J22" s="247"/>
      <c r="K22" s="247"/>
      <c r="L22" s="247"/>
      <c r="M22" s="247"/>
      <c r="N22" s="247"/>
      <c r="O22" s="247"/>
      <c r="P22" s="247"/>
      <c r="Q22" s="247"/>
      <c r="R22" s="248"/>
    </row>
    <row r="23" spans="1:18" ht="13" x14ac:dyDescent="0.25">
      <c r="A23" s="246" t="s">
        <v>86</v>
      </c>
      <c r="B23" s="247"/>
      <c r="C23" s="247"/>
      <c r="D23" s="247"/>
      <c r="E23" s="247"/>
      <c r="F23" s="247"/>
      <c r="G23" s="248"/>
      <c r="H23" s="175"/>
      <c r="I23" s="173"/>
      <c r="J23" s="63"/>
      <c r="K23" s="173"/>
      <c r="L23" s="173"/>
      <c r="M23" s="173"/>
      <c r="N23" s="173"/>
      <c r="O23" s="173"/>
      <c r="P23" s="173"/>
      <c r="Q23" s="173"/>
      <c r="R23" s="176"/>
    </row>
    <row r="24" spans="1:18" ht="13" x14ac:dyDescent="0.3">
      <c r="A24" s="171"/>
      <c r="B24" s="189"/>
      <c r="C24" s="173"/>
      <c r="D24" s="173"/>
      <c r="E24" s="54"/>
      <c r="F24" s="173"/>
      <c r="G24" s="173"/>
      <c r="H24" s="175"/>
      <c r="I24" s="173"/>
      <c r="J24" s="182" t="s">
        <v>87</v>
      </c>
      <c r="K24" s="173"/>
      <c r="L24" s="173"/>
      <c r="M24" s="173"/>
      <c r="N24" s="173"/>
      <c r="O24" s="173"/>
      <c r="P24" s="199">
        <f ca="1">PMT(E35/12,E41,-P20)</f>
        <v>882.84612130552932</v>
      </c>
      <c r="Q24" s="173"/>
      <c r="R24" s="176"/>
    </row>
    <row r="25" spans="1:18" ht="13" x14ac:dyDescent="0.3">
      <c r="A25" s="171"/>
      <c r="B25" s="76" t="s">
        <v>63</v>
      </c>
      <c r="C25" s="42"/>
      <c r="D25" s="42"/>
      <c r="E25" s="57">
        <f>Inputs!N28</f>
        <v>160000</v>
      </c>
      <c r="F25" s="173"/>
      <c r="G25" s="173"/>
      <c r="H25" s="175"/>
      <c r="I25" s="173"/>
      <c r="J25" s="186" t="s">
        <v>88</v>
      </c>
      <c r="K25" s="173"/>
      <c r="L25" s="173"/>
      <c r="M25" s="173"/>
      <c r="N25" s="173"/>
      <c r="O25" s="173"/>
      <c r="P25" s="199">
        <f ca="1">P24+E14+E15+E16+E17</f>
        <v>1199.8461213055293</v>
      </c>
      <c r="Q25" s="173"/>
      <c r="R25" s="176"/>
    </row>
    <row r="26" spans="1:18" ht="13" x14ac:dyDescent="0.3">
      <c r="A26" s="171"/>
      <c r="B26" s="76" t="str">
        <f>IF(Inputs!N16&gt;0,"Arrears and Forbearance","Total Eligible Arrears")</f>
        <v>Total Eligible Arrears</v>
      </c>
      <c r="C26" s="42"/>
      <c r="D26" s="42"/>
      <c r="E26" s="57">
        <f ca="1">Inputs!$N$35</f>
        <v>23088.416684069798</v>
      </c>
      <c r="F26" s="200" t="str">
        <f>IF(infotype=3,"","+")</f>
        <v>+</v>
      </c>
      <c r="G26" s="173"/>
      <c r="H26" s="175"/>
      <c r="I26" s="173"/>
      <c r="J26" s="186"/>
      <c r="K26" s="173"/>
      <c r="L26" s="173"/>
      <c r="M26" s="173"/>
      <c r="N26" s="173"/>
      <c r="O26" s="173"/>
      <c r="P26" s="149"/>
      <c r="Q26" s="173"/>
      <c r="R26" s="176"/>
    </row>
    <row r="27" spans="1:18" ht="13" x14ac:dyDescent="0.3">
      <c r="A27" s="171"/>
      <c r="B27" s="48" t="s">
        <v>65</v>
      </c>
      <c r="C27" s="48"/>
      <c r="D27" s="48"/>
      <c r="E27" s="61">
        <f ca="1">SUM(E25:E26)</f>
        <v>183088.41668406979</v>
      </c>
      <c r="F27" s="191"/>
      <c r="G27" s="173"/>
      <c r="H27" s="175"/>
      <c r="I27" s="173"/>
      <c r="J27" s="182" t="s">
        <v>89</v>
      </c>
      <c r="K27" s="173"/>
      <c r="L27" s="173"/>
      <c r="M27" s="173"/>
      <c r="N27" s="173"/>
      <c r="O27" s="173"/>
      <c r="P27" s="173"/>
      <c r="Q27" s="187"/>
      <c r="R27" s="176"/>
    </row>
    <row r="28" spans="1:18" x14ac:dyDescent="0.25">
      <c r="A28" s="171"/>
      <c r="B28" s="173"/>
      <c r="C28" s="173"/>
      <c r="D28" s="173"/>
      <c r="E28" s="54"/>
      <c r="F28" s="173"/>
      <c r="G28" s="173"/>
      <c r="H28" s="175"/>
      <c r="I28" s="173"/>
      <c r="J28" s="173"/>
      <c r="K28" s="173" t="s">
        <v>90</v>
      </c>
      <c r="L28" s="173"/>
      <c r="M28" s="173"/>
      <c r="N28" s="173"/>
      <c r="O28" s="173"/>
      <c r="P28" s="184" t="e">
        <f>IF(Inputs!#REF!="YES",(Inputs!N39)/GMI,((P25+Inputs!$N$38)/GMI))</f>
        <v>#REF!</v>
      </c>
      <c r="Q28" s="173"/>
      <c r="R28" s="176"/>
    </row>
    <row r="29" spans="1:18" ht="13" x14ac:dyDescent="0.3">
      <c r="A29" s="171"/>
      <c r="B29" s="173"/>
      <c r="C29" s="173"/>
      <c r="D29" s="173"/>
      <c r="E29" s="54"/>
      <c r="F29" s="173"/>
      <c r="G29" s="173"/>
      <c r="H29" s="175"/>
      <c r="I29" s="173"/>
      <c r="J29" s="173"/>
      <c r="K29" s="173" t="s">
        <v>91</v>
      </c>
      <c r="L29" s="173"/>
      <c r="M29" s="173"/>
      <c r="N29" s="173"/>
      <c r="O29" s="173"/>
      <c r="P29" s="188" t="e">
        <f>IF(OR(P28&gt;0.55,P28&lt;0.1),"NO","YES")</f>
        <v>#REF!</v>
      </c>
      <c r="Q29" s="173"/>
      <c r="R29" s="176"/>
    </row>
    <row r="30" spans="1:18" ht="13" x14ac:dyDescent="0.3">
      <c r="A30" s="246" t="str">
        <f ca="1">IF(AND(Owner&lt;3,UPB&lt;0.8*Value),"SET FIXED RATE","REDUCE INTEREST RATE")</f>
        <v>SET FIXED RATE</v>
      </c>
      <c r="B30" s="247"/>
      <c r="C30" s="247"/>
      <c r="D30" s="247"/>
      <c r="E30" s="247"/>
      <c r="F30" s="247"/>
      <c r="G30" s="248"/>
      <c r="H30" s="175"/>
      <c r="I30" s="173"/>
      <c r="J30" s="173"/>
      <c r="K30" s="173"/>
      <c r="L30" s="173"/>
      <c r="M30" s="173"/>
      <c r="N30" s="173"/>
      <c r="O30" s="173"/>
      <c r="P30" s="201"/>
      <c r="Q30" s="173"/>
      <c r="R30" s="176"/>
    </row>
    <row r="31" spans="1:18" x14ac:dyDescent="0.25">
      <c r="A31" s="171"/>
      <c r="B31" s="173"/>
      <c r="C31" s="173"/>
      <c r="D31" s="173"/>
      <c r="E31" s="54"/>
      <c r="F31" s="173"/>
      <c r="G31" s="173"/>
      <c r="H31" s="175"/>
      <c r="I31" s="173"/>
      <c r="J31" s="182" t="s">
        <v>92</v>
      </c>
      <c r="K31" s="173"/>
      <c r="L31" s="173"/>
      <c r="M31" s="173"/>
      <c r="N31" s="173"/>
      <c r="O31" s="173"/>
      <c r="P31" s="174"/>
      <c r="Q31" s="203"/>
      <c r="R31" s="176"/>
    </row>
    <row r="32" spans="1:18" ht="13" x14ac:dyDescent="0.3">
      <c r="A32" s="171"/>
      <c r="B32" s="13" t="str">
        <f ca="1">IF(AND(MTMLTV&lt;0.8,OR(RateType="Fixed Rate",Inputs!N12=Inputs!N14)),"Keep Current Rate:","Lesser of:")</f>
        <v>Keep Current Rate:</v>
      </c>
      <c r="C32" s="1"/>
      <c r="D32" s="1"/>
      <c r="E32" s="1"/>
      <c r="F32" s="186"/>
      <c r="G32" s="182"/>
      <c r="H32" s="202"/>
      <c r="I32" s="173"/>
      <c r="J32" s="173"/>
      <c r="K32" s="182" t="s">
        <v>93</v>
      </c>
      <c r="L32" s="182"/>
      <c r="M32" s="182"/>
      <c r="N32" s="173"/>
      <c r="O32" s="173"/>
      <c r="P32" s="184">
        <f ca="1">(E13-P24)/E13</f>
        <v>6.0239826146963583E-2</v>
      </c>
      <c r="Q32" s="203"/>
      <c r="R32" s="176"/>
    </row>
    <row r="33" spans="1:18" ht="13.5" x14ac:dyDescent="0.3">
      <c r="A33" s="171"/>
      <c r="B33" s="101" t="str">
        <f ca="1">IF(AND(MTMLTV&lt;0.8,OR(RateType="Fixed Rate",Inputs!N12=Inputs!N14)),"",IF(Owner=1,"Fannie Mae Mod Rate",IF(Owner=2,"Freddie Standard Mod Rate",0)))</f>
        <v/>
      </c>
      <c r="C33" s="218"/>
      <c r="D33" s="1"/>
      <c r="E33" s="144">
        <f>Inputs!N6</f>
        <v>2.8750000000000001E-2</v>
      </c>
      <c r="F33" s="186"/>
      <c r="G33" s="182"/>
      <c r="H33" s="202"/>
      <c r="I33" s="173"/>
      <c r="J33" s="173"/>
      <c r="K33" s="173" t="s">
        <v>91</v>
      </c>
      <c r="L33" s="173"/>
      <c r="M33" s="173"/>
      <c r="N33" s="173"/>
      <c r="O33" s="173"/>
      <c r="P33" s="188" t="str">
        <f ca="1">IF(P32&gt;=0,"YES","NO")</f>
        <v>YES</v>
      </c>
      <c r="Q33" s="174"/>
      <c r="R33" s="176"/>
    </row>
    <row r="34" spans="1:18" ht="13" x14ac:dyDescent="0.3">
      <c r="A34" s="171"/>
      <c r="B34" s="73" t="s">
        <v>94</v>
      </c>
      <c r="C34" s="2"/>
      <c r="D34" s="2"/>
      <c r="E34" s="145">
        <f>Inputs!N12</f>
        <v>0.05</v>
      </c>
      <c r="F34" s="186"/>
      <c r="G34" s="182"/>
      <c r="H34" s="202"/>
      <c r="I34" s="173"/>
      <c r="J34" s="173"/>
      <c r="K34" s="173"/>
      <c r="L34" s="173"/>
      <c r="M34" s="173"/>
      <c r="N34" s="173"/>
      <c r="O34" s="173"/>
      <c r="P34" s="201"/>
      <c r="Q34" s="174"/>
      <c r="R34" s="176"/>
    </row>
    <row r="35" spans="1:18" ht="12.75" customHeight="1" x14ac:dyDescent="0.3">
      <c r="A35" s="171"/>
      <c r="B35" s="48" t="s">
        <v>72</v>
      </c>
      <c r="C35" s="52"/>
      <c r="D35" s="42"/>
      <c r="E35" s="146">
        <f ca="1">VLOOKUP(RateType,RateTable,3,FALSE)</f>
        <v>0.05</v>
      </c>
      <c r="F35" s="186"/>
      <c r="G35" s="182"/>
      <c r="H35" s="202"/>
      <c r="I35" s="249" t="e">
        <f ca="1">IF(PIREDUCTION="YES",IF(P29="YES","Modification Results","Streamline Modification Only"),"Borrower Ineligible")</f>
        <v>#REF!</v>
      </c>
      <c r="J35" s="250"/>
      <c r="K35" s="250"/>
      <c r="L35" s="250"/>
      <c r="M35" s="250"/>
      <c r="N35" s="250"/>
      <c r="O35" s="250"/>
      <c r="P35" s="250"/>
      <c r="Q35" s="250"/>
      <c r="R35" s="251"/>
    </row>
    <row r="36" spans="1:18" ht="13" x14ac:dyDescent="0.3">
      <c r="A36" s="171"/>
      <c r="B36" s="173"/>
      <c r="C36" s="173"/>
      <c r="D36" s="173"/>
      <c r="E36" s="173"/>
      <c r="F36" s="186"/>
      <c r="G36" s="173"/>
      <c r="H36" s="202"/>
      <c r="I36" s="173"/>
      <c r="J36" s="189" t="str">
        <f>IF(P35="Maybe","Client's eligibility depends on servicer specific requirements","")</f>
        <v/>
      </c>
      <c r="K36" s="173"/>
      <c r="L36" s="173"/>
      <c r="M36" s="173"/>
      <c r="N36" s="173"/>
      <c r="O36" s="173"/>
      <c r="P36" s="173"/>
      <c r="Q36" s="173"/>
      <c r="R36" s="176"/>
    </row>
    <row r="37" spans="1:18" ht="13" x14ac:dyDescent="0.3">
      <c r="A37" s="171"/>
      <c r="B37" s="186"/>
      <c r="C37" s="186"/>
      <c r="D37" s="186"/>
      <c r="E37" s="64"/>
      <c r="F37" s="186"/>
      <c r="G37" s="173"/>
      <c r="H37" s="175"/>
      <c r="I37" s="42"/>
      <c r="J37" s="76" t="s">
        <v>73</v>
      </c>
      <c r="K37" s="42"/>
      <c r="L37" s="42"/>
      <c r="M37" s="42"/>
      <c r="N37" s="42"/>
      <c r="O37" s="42"/>
      <c r="P37" s="150">
        <f ca="1">-PMT(E35/12,480,P39-P40)</f>
        <v>882.84612130552932</v>
      </c>
      <c r="Q37" s="43"/>
      <c r="R37" s="100"/>
    </row>
    <row r="38" spans="1:18" ht="13" x14ac:dyDescent="0.3">
      <c r="A38" s="171"/>
      <c r="B38" s="186"/>
      <c r="C38" s="173"/>
      <c r="D38" s="173"/>
      <c r="E38" s="173"/>
      <c r="F38" s="173"/>
      <c r="G38" s="173"/>
      <c r="H38" s="175"/>
      <c r="I38" s="42"/>
      <c r="J38" s="76" t="s">
        <v>74</v>
      </c>
      <c r="K38" s="42"/>
      <c r="L38" s="42"/>
      <c r="M38" s="42"/>
      <c r="N38" s="42"/>
      <c r="O38" s="42"/>
      <c r="P38" s="151">
        <f ca="1">SUM(P37,E14:E16)</f>
        <v>1199.8461213055293</v>
      </c>
      <c r="Q38" s="43"/>
      <c r="R38" s="100"/>
    </row>
    <row r="39" spans="1:18" ht="13" x14ac:dyDescent="0.25">
      <c r="A39" s="246" t="s">
        <v>95</v>
      </c>
      <c r="B39" s="247"/>
      <c r="C39" s="247"/>
      <c r="D39" s="247"/>
      <c r="E39" s="247"/>
      <c r="F39" s="247"/>
      <c r="G39" s="248"/>
      <c r="H39" s="175"/>
      <c r="I39" s="42"/>
      <c r="J39" s="148" t="s">
        <v>75</v>
      </c>
      <c r="K39" s="42"/>
      <c r="L39" s="42"/>
      <c r="M39" s="42"/>
      <c r="N39" s="42"/>
      <c r="O39" s="42"/>
      <c r="P39" s="150">
        <f ca="1">E27</f>
        <v>183088.41668406979</v>
      </c>
      <c r="Q39" s="43"/>
      <c r="R39" s="100"/>
    </row>
    <row r="40" spans="1:18" ht="12.75" customHeight="1" x14ac:dyDescent="0.35">
      <c r="A40" s="171"/>
      <c r="B40" s="173"/>
      <c r="C40" s="173"/>
      <c r="D40" s="173"/>
      <c r="E40" s="65"/>
      <c r="F40" s="173"/>
      <c r="G40" s="173"/>
      <c r="H40" s="175"/>
      <c r="I40" s="42"/>
      <c r="J40" s="148" t="s">
        <v>77</v>
      </c>
      <c r="K40" s="42"/>
      <c r="L40" s="42"/>
      <c r="M40" s="42"/>
      <c r="N40" s="42"/>
      <c r="O40" s="42"/>
      <c r="P40" s="152">
        <f ca="1">P39-P20</f>
        <v>0</v>
      </c>
      <c r="Q40" s="98"/>
      <c r="R40" s="100"/>
    </row>
    <row r="41" spans="1:18" ht="12.75" customHeight="1" x14ac:dyDescent="0.3">
      <c r="A41" s="171"/>
      <c r="B41" s="186" t="s">
        <v>79</v>
      </c>
      <c r="C41" s="173"/>
      <c r="D41" s="173"/>
      <c r="E41" s="204">
        <v>480</v>
      </c>
      <c r="F41" s="182" t="s">
        <v>80</v>
      </c>
      <c r="G41" s="173"/>
      <c r="H41" s="175"/>
      <c r="I41" s="42"/>
      <c r="J41" s="76" t="s">
        <v>78</v>
      </c>
      <c r="K41" s="42"/>
      <c r="L41" s="42"/>
      <c r="M41" s="42"/>
      <c r="N41" s="42"/>
      <c r="O41" s="42"/>
      <c r="P41" s="153">
        <f ca="1">E35</f>
        <v>0.05</v>
      </c>
      <c r="Q41" s="43"/>
      <c r="R41" s="100"/>
    </row>
    <row r="42" spans="1:18" x14ac:dyDescent="0.25">
      <c r="A42" s="171"/>
      <c r="B42" s="173"/>
      <c r="C42" s="173"/>
      <c r="D42" s="173"/>
      <c r="E42" s="173"/>
      <c r="F42" s="173"/>
      <c r="G42" s="173"/>
      <c r="H42" s="175"/>
      <c r="I42" s="42"/>
      <c r="J42" s="76" t="s">
        <v>81</v>
      </c>
      <c r="K42" s="42"/>
      <c r="L42" s="42"/>
      <c r="M42" s="42"/>
      <c r="N42" s="42"/>
      <c r="O42" s="42"/>
      <c r="P42" s="154">
        <v>480</v>
      </c>
      <c r="Q42" s="42"/>
      <c r="R42" s="100"/>
    </row>
    <row r="43" spans="1:18" x14ac:dyDescent="0.25">
      <c r="A43" s="205" t="str">
        <f>VLOOKUP(Owner,Current,3)</f>
        <v>Current as of FNMA Servicing Announcement 2015-12</v>
      </c>
      <c r="B43" s="206"/>
      <c r="C43" s="206"/>
      <c r="D43" s="206"/>
      <c r="E43" s="206"/>
      <c r="F43" s="206"/>
      <c r="G43" s="206"/>
      <c r="H43" s="175"/>
      <c r="I43" s="206"/>
      <c r="J43" s="206"/>
      <c r="K43" s="206"/>
      <c r="L43" s="206"/>
      <c r="M43" s="206"/>
      <c r="N43" s="206"/>
      <c r="O43" s="206"/>
      <c r="P43" s="206"/>
      <c r="Q43" s="207" t="s">
        <v>40</v>
      </c>
      <c r="R43" s="208"/>
    </row>
  </sheetData>
  <sheetProtection sheet="1" objects="1" scenarios="1"/>
  <mergeCells count="8">
    <mergeCell ref="A39:G39"/>
    <mergeCell ref="I35:R35"/>
    <mergeCell ref="A1:R1"/>
    <mergeCell ref="I3:R3"/>
    <mergeCell ref="D4:E4"/>
    <mergeCell ref="I22:R22"/>
    <mergeCell ref="A23:G23"/>
    <mergeCell ref="A30:G30"/>
  </mergeCells>
  <conditionalFormatting sqref="D4:E6">
    <cfRule type="expression" dxfId="4" priority="10">
      <formula>IF($B$2="RENTAL PROPERTIES AREN'T TIER 1 ELIGIBLE",1,0)</formula>
    </cfRule>
  </conditionalFormatting>
  <conditionalFormatting sqref="A28:H31 A25:A27 F25:H27 A36:H43 A32:A35 F32:H35 I1:R2 J21:R34 I43:R43 J36:R36 I21:I36 A1:H24">
    <cfRule type="expression" dxfId="3" priority="14" stopIfTrue="1">
      <formula>IF($Q$43="MFY Legal Services Inc.'s Proprietary Waterfall Worksheet",0,1)</formula>
    </cfRule>
  </conditionalFormatting>
  <conditionalFormatting sqref="J11:P20">
    <cfRule type="expression" dxfId="2" priority="2">
      <formula>IF($P$9="NO",1,0)</formula>
    </cfRule>
  </conditionalFormatting>
  <conditionalFormatting sqref="J37:P42">
    <cfRule type="expression" dxfId="1" priority="1">
      <formula>IF($P$33="NO",1,0)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14D45F5-F8BD-49C7-B4F2-3D94A117C8C2}">
            <xm:f>IF(AND(MTMLTV&lt;0.8,OR(RateType="Fixed Rate",Inputs!N12=Inputs!N14)),1,0)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E33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A7" sqref="A7"/>
    </sheetView>
  </sheetViews>
  <sheetFormatPr defaultRowHeight="12.5" x14ac:dyDescent="0.25"/>
  <cols>
    <col min="4" max="4" width="16" customWidth="1"/>
    <col min="5" max="5" width="17.81640625" customWidth="1"/>
  </cols>
  <sheetData>
    <row r="1" spans="1:6" x14ac:dyDescent="0.25">
      <c r="A1" t="s">
        <v>96</v>
      </c>
      <c r="B1">
        <f>IF(Inputs!N5="Fannie Mae",1,2)</f>
        <v>1</v>
      </c>
    </row>
    <row r="2" spans="1:6" x14ac:dyDescent="0.25">
      <c r="A2" t="s">
        <v>97</v>
      </c>
      <c r="B2">
        <f>IF(Payoff="Only Default Date",1,IF(Payoff="UPB at Default",2,IF(Payoff="Capitalized UPB",3)))</f>
        <v>2</v>
      </c>
      <c r="D2" t="s">
        <v>98</v>
      </c>
      <c r="E2" t="s">
        <v>99</v>
      </c>
      <c r="F2">
        <f ca="1">IF(OR(Inputs!N6&gt;Inputs!N14,AND(Inputs!N12=Inputs!N14,MTMLTV&lt;0.8)),Inputs!N14,Inputs!N6)</f>
        <v>2.8750000000000001E-2</v>
      </c>
    </row>
    <row r="3" spans="1:6" x14ac:dyDescent="0.25">
      <c r="A3" s="71" t="s">
        <v>100</v>
      </c>
      <c r="B3">
        <f ca="1">UPB/Value</f>
        <v>0.73235366673627911</v>
      </c>
      <c r="D3" t="s">
        <v>15</v>
      </c>
      <c r="E3" t="str">
        <f>""</f>
        <v/>
      </c>
      <c r="F3">
        <f ca="1">IF(AND(MTMLTV&gt;0.8,Inputs!N12&gt;Inputs!N6),Inputs!N6,Inputs!N12)</f>
        <v>0.05</v>
      </c>
    </row>
    <row r="4" spans="1:6" x14ac:dyDescent="0.25">
      <c r="D4" t="s">
        <v>101</v>
      </c>
      <c r="E4" t="s">
        <v>102</v>
      </c>
      <c r="F4">
        <f ca="1">IF(OR(Inputs!N6&gt;Inputs!N14,AND(Inputs!N12=Inputs!N14,MTMLTV&lt;0.8)),Inputs!N14,Inputs!N6)</f>
        <v>2.8750000000000001E-2</v>
      </c>
    </row>
    <row r="6" spans="1:6" x14ac:dyDescent="0.25">
      <c r="A6" s="5">
        <v>1</v>
      </c>
      <c r="B6" s="141" t="s">
        <v>103</v>
      </c>
      <c r="C6" s="141" t="s">
        <v>104</v>
      </c>
    </row>
    <row r="7" spans="1:6" x14ac:dyDescent="0.25">
      <c r="A7" s="7">
        <v>2</v>
      </c>
      <c r="B7" s="73" t="s">
        <v>105</v>
      </c>
      <c r="C7" s="73" t="s">
        <v>106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1_ xmlns="499f3542-0688-476c-b09c-0c039bfdd880" xsi:nil="true"/>
    <Text xmlns="499f3542-0688-476c-b09c-0c039bfdd880" xsi:nil="true"/>
    <Date xmlns="499f3542-0688-476c-b09c-0c039bfdd88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615635221324388FC5E6FF9FDFEDF" ma:contentTypeVersion="16" ma:contentTypeDescription="Create a new document." ma:contentTypeScope="" ma:versionID="b6e7607d721af44490d50d9cd3f5cb9d">
  <xsd:schema xmlns:xsd="http://www.w3.org/2001/XMLSchema" xmlns:xs="http://www.w3.org/2001/XMLSchema" xmlns:p="http://schemas.microsoft.com/office/2006/metadata/properties" xmlns:ns2="499f3542-0688-476c-b09c-0c039bfdd880" xmlns:ns3="d4b49695-86d2-4524-9ca1-043c44a2ad66" targetNamespace="http://schemas.microsoft.com/office/2006/metadata/properties" ma:root="true" ma:fieldsID="058fea76a43a2c2c67b241f18533c3dd" ns2:_="" ns3:_="">
    <xsd:import namespace="499f3542-0688-476c-b09c-0c039bfdd880"/>
    <xsd:import namespace="d4b49695-86d2-4524-9ca1-043c44a2ad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e" minOccurs="0"/>
                <xsd:element ref="ns2:Date_x0021_" minOccurs="0"/>
                <xsd:element ref="ns2:Text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3542-0688-476c-b09c-0c039bfdd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Date" ma:index="19" nillable="true" ma:displayName="Date" ma:format="DateOnly" ma:internalName="Date">
      <xsd:simpleType>
        <xsd:restriction base="dms:DateTime"/>
      </xsd:simpleType>
    </xsd:element>
    <xsd:element name="Date_x0021_" ma:index="20" nillable="true" ma:displayName="Date!" ma:format="DateOnly" ma:internalName="Date_x0021_">
      <xsd:simpleType>
        <xsd:restriction base="dms:DateTime"/>
      </xsd:simpleType>
    </xsd:element>
    <xsd:element name="Text" ma:index="21" nillable="true" ma:displayName="Text" ma:format="Dropdown" ma:internalName="Text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49695-86d2-4524-9ca1-043c44a2a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F2869-3165-41DB-8402-3B7353D0BB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528BA-E103-4563-A603-D9B1FC877DEC}">
  <ds:schemaRefs>
    <ds:schemaRef ds:uri="d4b49695-86d2-4524-9ca1-043c44a2ad66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99f3542-0688-476c-b09c-0c039bfdd880"/>
  </ds:schemaRefs>
</ds:datastoreItem>
</file>

<file path=customXml/itemProps3.xml><?xml version="1.0" encoding="utf-8"?>
<ds:datastoreItem xmlns:ds="http://schemas.openxmlformats.org/officeDocument/2006/customXml" ds:itemID="{C7BC3121-B194-4F4D-9C67-17D968B35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9f3542-0688-476c-b09c-0c039bfdd880"/>
    <ds:schemaRef ds:uri="d4b49695-86d2-4524-9ca1-043c44a2a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25</vt:i4>
      </vt:variant>
    </vt:vector>
  </HeadingPairs>
  <TitlesOfParts>
    <vt:vector size="31" baseType="lpstr">
      <vt:lpstr>Inputs</vt:lpstr>
      <vt:lpstr>Flex</vt:lpstr>
      <vt:lpstr>COVID Flex</vt:lpstr>
      <vt:lpstr>Sheet1</vt:lpstr>
      <vt:lpstr>Standard</vt:lpstr>
      <vt:lpstr>Calculations</vt:lpstr>
      <vt:lpstr>Current</vt:lpstr>
      <vt:lpstr>DTI</vt:lpstr>
      <vt:lpstr>GMI</vt:lpstr>
      <vt:lpstr>infotype</vt:lpstr>
      <vt:lpstr>Flex!MaxDTI</vt:lpstr>
      <vt:lpstr>MaxDTI</vt:lpstr>
      <vt:lpstr>Flex!MinDTI</vt:lpstr>
      <vt:lpstr>MinDTI</vt:lpstr>
      <vt:lpstr>MTMLTV</vt:lpstr>
      <vt:lpstr>Owner</vt:lpstr>
      <vt:lpstr>Payoff</vt:lpstr>
      <vt:lpstr>Flex!PIREDUCTION</vt:lpstr>
      <vt:lpstr>Standard!PIREDUCTION</vt:lpstr>
      <vt:lpstr>PIREDUCTION</vt:lpstr>
      <vt:lpstr>RateTable</vt:lpstr>
      <vt:lpstr>RateType</vt:lpstr>
      <vt:lpstr>Standard!T2PITIA</vt:lpstr>
      <vt:lpstr>Flex!TierTwo</vt:lpstr>
      <vt:lpstr>Standard!TierTwo</vt:lpstr>
      <vt:lpstr>TierTwo</vt:lpstr>
      <vt:lpstr>TODAY</vt:lpstr>
      <vt:lpstr>TYPE</vt:lpstr>
      <vt:lpstr>Flex!UPB</vt:lpstr>
      <vt:lpstr>UPB</vt:lpstr>
      <vt:lpstr>Value</vt:lpstr>
    </vt:vector>
  </TitlesOfParts>
  <Manager/>
  <Company>Eastside Community Development Corp.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MFY Legal Services</dc:creator>
  <cp:keywords/>
  <dc:description/>
  <cp:lastModifiedBy>Joseph Rebella</cp:lastModifiedBy>
  <cp:revision/>
  <cp:lastPrinted>2021-10-06T16:52:19Z</cp:lastPrinted>
  <dcterms:created xsi:type="dcterms:W3CDTF">2010-03-17T18:01:29Z</dcterms:created>
  <dcterms:modified xsi:type="dcterms:W3CDTF">2021-10-06T17:15:58Z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0x010100CDB615635221324388FC5E6FF9FDFEDF</vt:lpwstr>
  </property>
  <property fmtid="{D5CDD505-2E9C-101B-9397-08002B2CF9AE}" pid="3" name="Order">
    <vt:r8>64792000</vt:r8>
  </property>
</Properties>
</file>