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hisWorkbook" defaultThemeVersion="124226"/>
  <bookViews>
    <workbookView xWindow="2625" yWindow="810" windowWidth="19035" windowHeight="10485"/>
  </bookViews>
  <sheets>
    <sheet name="Inputs" sheetId="8" r:id="rId1"/>
    <sheet name="HAMP Tier 1" sheetId="6" r:id="rId2"/>
    <sheet name="Tier 2 - Standard" sheetId="4" r:id="rId3"/>
    <sheet name="Mod Terms" sheetId="10" r:id="rId4"/>
    <sheet name="Data Validation" sheetId="9" state="hidden" r:id="rId5"/>
    <sheet name="2MP" sheetId="11" r:id="rId6"/>
  </sheets>
  <externalReferences>
    <externalReference r:id="rId7"/>
  </externalReferences>
  <definedNames>
    <definedName name="AffNeg">'Data Validation'!$A$1:$A$2</definedName>
    <definedName name="Am2nd">'Data Validation'!$K$9</definedName>
    <definedName name="amstep">'Data Validation'!$K$12</definedName>
    <definedName name="AmSteps">'Data Validation'!$L$34</definedName>
    <definedName name="Current">'Data Validation'!$I$2:$J$4</definedName>
    <definedName name="DTI">'Tier 2 - Standard'!$P$29</definedName>
    <definedName name="DTI_Range">'Data Validation'!$D$2:$G$17</definedName>
    <definedName name="fpdate">#REF!</definedName>
    <definedName name="GMI">Inputs!$F$42</definedName>
    <definedName name="infotype">'Data Validation'!$A$5</definedName>
    <definedName name="infotype2">'Data Validation'!$A$7</definedName>
    <definedName name="IntOnly2nd">'Data Validation'!$I$35:$L$40</definedName>
    <definedName name="LoanType">'Data Validation'!$A$6:$A$8</definedName>
    <definedName name="MaxDTI">'Tier 2 - Standard'!$N$27</definedName>
    <definedName name="MinDTI">'Tier 2 - Standard'!$L$27</definedName>
    <definedName name="Mods">'Data Validation'!$I$11:$I$13</definedName>
    <definedName name="NonAM">'Data Validation'!$I$35:$L$62</definedName>
    <definedName name="nonamsteps">'Data Validation'!$J$34</definedName>
    <definedName name="nper" localSheetId="1">'HAMP Tier 1'!term*12</definedName>
    <definedName name="nper" localSheetId="0">Inputs!term*12</definedName>
    <definedName name="nper">term*12</definedName>
    <definedName name="numsteps">'Data Validation'!$B$4</definedName>
    <definedName name="Numsteps2">'Data Validation'!$K$10</definedName>
    <definedName name="Owner">'Data Validation'!$A$10</definedName>
    <definedName name="Payoff">Inputs!$N$20</definedName>
    <definedName name="Payoff2">'2MP'!$E$28</definedName>
    <definedName name="PIFAIL">'Data Validation'!$A$6</definedName>
    <definedName name="PIREDUCTION">'Tier 2 - Standard'!$P$36</definedName>
    <definedName name="PMMS">'Data Validation'!$B$5</definedName>
    <definedName name="PMUPB">'HAMP Tier 1'!$E$22</definedName>
    <definedName name="rangeunknown">'Data Validation'!$A$14</definedName>
    <definedName name="RateType">Inputs!$N$11</definedName>
    <definedName name="Rental">Inputs!$F$10</definedName>
    <definedName name="Seconds">'Data Validation'!$I$15:$L$32</definedName>
    <definedName name="SecondServicer">'2MP'!$E$17</definedName>
    <definedName name="Servicer">Inputs!$N$6</definedName>
    <definedName name="Servicer_2MP">'Data Validation'!$D$34:$D$45</definedName>
    <definedName name="Servicer_List">'Data Validation'!$D$2:$D$18</definedName>
    <definedName name="sline">'Data Validation'!$A$13</definedName>
    <definedName name="small">'Data Validation'!$N$7</definedName>
    <definedName name="T2DEBT">Inputs!$N$43</definedName>
    <definedName name="T2PITIA">'Tier 2 - Standard'!$P$25</definedName>
    <definedName name="term" localSheetId="1">[1]Inputs!$D$7</definedName>
    <definedName name="term" localSheetId="0">[1]Inputs!$D$7</definedName>
    <definedName name="term">#REF!</definedName>
    <definedName name="Tier2_Outcome">'Data Validation'!$E$25:$H$32</definedName>
    <definedName name="TierOne">'Data Validation'!$A$4</definedName>
    <definedName name="TierTwo">'Tier 2 - Standard'!$P$40</definedName>
    <definedName name="TODAY">Inputs!$N$24</definedName>
    <definedName name="TYPE">Inputs!$N$5</definedName>
    <definedName name="UPB">'HAMP Tier 1'!$E$24</definedName>
    <definedName name="Value">Inputs!$F$9</definedName>
  </definedNames>
  <calcPr calcId="125725"/>
  <customWorkbookViews>
    <customWorkbookView name="Custom" guid="{0367687A-2E80-4414-9E57-D64905950517}" includePrintSettings="0" includeHiddenRowCol="0" maximized="1" xWindow="1" yWindow="1" windowWidth="1676" windowHeight="829" activeSheetId="10"/>
  </customWorkbookViews>
</workbook>
</file>

<file path=xl/calcChain.xml><?xml version="1.0" encoding="utf-8"?>
<calcChain xmlns="http://schemas.openxmlformats.org/spreadsheetml/2006/main">
  <c r="B23" i="6"/>
  <c r="B26" i="4" s="1"/>
  <c r="N21" i="8"/>
  <c r="E11" i="6"/>
  <c r="H25" i="9" l="1"/>
  <c r="G28"/>
  <c r="G27"/>
  <c r="G30"/>
  <c r="G26"/>
  <c r="E30" i="11"/>
  <c r="K36" i="8"/>
  <c r="N24"/>
  <c r="B12" i="11"/>
  <c r="A39"/>
  <c r="K10" i="9"/>
  <c r="L17" i="11"/>
  <c r="I33"/>
  <c r="I17" l="1"/>
  <c r="K39" i="9" l="1"/>
  <c r="L39"/>
  <c r="J39"/>
  <c r="J19"/>
  <c r="B25" i="11" l="1"/>
  <c r="A7" i="9"/>
  <c r="E32" i="11"/>
  <c r="K11" i="9" s="1"/>
  <c r="B11" i="11"/>
  <c r="B10"/>
  <c r="B9"/>
  <c r="B8"/>
  <c r="B29" l="1"/>
  <c r="B31"/>
  <c r="K13" i="9"/>
  <c r="L30" i="11" s="1"/>
  <c r="B33"/>
  <c r="E33"/>
  <c r="K8" i="9"/>
  <c r="E34" i="11"/>
  <c r="B32"/>
  <c r="B30"/>
  <c r="N6" i="9" l="1"/>
  <c r="N7" s="1"/>
  <c r="K12"/>
  <c r="L20"/>
  <c r="L40"/>
  <c r="K20"/>
  <c r="K40"/>
  <c r="E35" i="11"/>
  <c r="E37" s="1"/>
  <c r="K9" i="9"/>
  <c r="I7" i="11" s="1"/>
  <c r="I5" l="1"/>
  <c r="I8"/>
  <c r="I23"/>
  <c r="K62" i="9"/>
  <c r="L37"/>
  <c r="J37"/>
  <c r="K37"/>
  <c r="L17"/>
  <c r="L38" s="1"/>
  <c r="J17"/>
  <c r="K17"/>
  <c r="K57" l="1"/>
  <c r="L51"/>
  <c r="K56"/>
  <c r="L36"/>
  <c r="L18"/>
  <c r="L16" s="1"/>
  <c r="L29" l="1"/>
  <c r="B7" i="11" l="1"/>
  <c r="K15" i="8" l="1"/>
  <c r="B5" i="9" l="1"/>
  <c r="D21" i="10" l="1"/>
  <c r="L22"/>
  <c r="L23" s="1"/>
  <c r="L24" l="1"/>
  <c r="F35" i="8"/>
  <c r="F16"/>
  <c r="L25" i="10" l="1"/>
  <c r="B33" i="8"/>
  <c r="B14"/>
  <c r="L26" i="10" l="1"/>
  <c r="F38" i="8"/>
  <c r="F40" s="1"/>
  <c r="B2" i="6"/>
  <c r="A5" i="9"/>
  <c r="K32" i="8" l="1"/>
  <c r="K21"/>
  <c r="K26"/>
  <c r="N26"/>
  <c r="K23"/>
  <c r="K22"/>
  <c r="K31"/>
  <c r="F26" i="4"/>
  <c r="L27" i="10"/>
  <c r="F23" i="6"/>
  <c r="K25" i="8"/>
  <c r="K27"/>
  <c r="K29"/>
  <c r="K24"/>
  <c r="K28"/>
  <c r="K30"/>
  <c r="E22" i="6" l="1"/>
  <c r="E25" i="4" s="1"/>
  <c r="A10" i="9"/>
  <c r="H29" l="1"/>
  <c r="H30"/>
  <c r="N27" i="4"/>
  <c r="B29" i="10"/>
  <c r="K35" i="8"/>
  <c r="K37"/>
  <c r="A45"/>
  <c r="A43" i="4"/>
  <c r="A43" i="6"/>
  <c r="A14" i="9"/>
  <c r="O33" i="4" s="1"/>
  <c r="K6" i="8"/>
  <c r="M27" i="4"/>
  <c r="J28"/>
  <c r="L27"/>
  <c r="N38" i="8"/>
  <c r="K38"/>
  <c r="K34"/>
  <c r="N25"/>
  <c r="A13" i="9" s="1"/>
  <c r="E18" i="6"/>
  <c r="A1" i="4"/>
  <c r="N30" i="8" l="1"/>
  <c r="J34" i="4"/>
  <c r="J27"/>
  <c r="J33"/>
  <c r="J38"/>
  <c r="J32"/>
  <c r="E33"/>
  <c r="B2"/>
  <c r="B2" i="8"/>
  <c r="K40"/>
  <c r="C27"/>
  <c r="G27"/>
  <c r="E26"/>
  <c r="K42"/>
  <c r="K41"/>
  <c r="K43"/>
  <c r="F20" l="1"/>
  <c r="F23"/>
  <c r="F25"/>
  <c r="P5" i="4" l="1"/>
  <c r="E13" l="1"/>
  <c r="E12" i="6"/>
  <c r="E14" i="4" s="1"/>
  <c r="E13" i="6"/>
  <c r="E15" i="4" s="1"/>
  <c r="E14" i="6"/>
  <c r="E16" i="4" s="1"/>
  <c r="E18" l="1"/>
  <c r="E16" i="6"/>
  <c r="E20" i="4" l="1"/>
  <c r="N27" i="8" l="1"/>
  <c r="N28"/>
  <c r="N29"/>
  <c r="N32" l="1"/>
  <c r="E23" i="6" s="1"/>
  <c r="E24" l="1"/>
  <c r="E26" i="4"/>
  <c r="I3" l="1"/>
  <c r="E34"/>
  <c r="E35" s="1"/>
  <c r="B35"/>
  <c r="B33"/>
  <c r="B34"/>
  <c r="A30"/>
  <c r="B32"/>
  <c r="P6"/>
  <c r="P7" s="1"/>
  <c r="P9" s="1"/>
  <c r="E27"/>
  <c r="P16" s="1"/>
  <c r="K10" l="1"/>
  <c r="P17"/>
  <c r="P13"/>
  <c r="P14" s="1"/>
  <c r="P18" l="1"/>
  <c r="P20" l="1"/>
  <c r="P24" l="1"/>
  <c r="P25" s="1"/>
  <c r="F27" i="8" s="1"/>
  <c r="F29" s="1"/>
  <c r="F42" s="1"/>
  <c r="N42"/>
  <c r="N43" s="1"/>
  <c r="P35" i="4" l="1"/>
  <c r="P29"/>
  <c r="G29" i="9" s="1"/>
  <c r="E8" i="4"/>
  <c r="E7" i="6"/>
  <c r="E30" s="1"/>
  <c r="E32" s="1"/>
  <c r="P36" i="4" l="1"/>
  <c r="P38"/>
  <c r="P30"/>
  <c r="E38" i="6"/>
  <c r="P32" i="4"/>
  <c r="B33" i="6"/>
  <c r="H31" i="9" l="1"/>
  <c r="G31"/>
  <c r="E29"/>
  <c r="E32"/>
  <c r="G25"/>
  <c r="E28"/>
  <c r="E31"/>
  <c r="E30"/>
  <c r="E25"/>
  <c r="E27"/>
  <c r="E26"/>
  <c r="A6"/>
  <c r="J7" i="6" s="1"/>
  <c r="B40"/>
  <c r="K6" i="10" l="1"/>
  <c r="K5"/>
  <c r="P40" i="4"/>
  <c r="I2" i="6"/>
  <c r="N7"/>
  <c r="N8"/>
  <c r="N9"/>
  <c r="N10"/>
  <c r="O13"/>
  <c r="J14"/>
  <c r="J13"/>
  <c r="J10"/>
  <c r="J9"/>
  <c r="J8"/>
  <c r="J4"/>
  <c r="K15" i="9" l="1"/>
  <c r="K35"/>
  <c r="I12"/>
  <c r="K10" i="10"/>
  <c r="K9"/>
  <c r="K11"/>
  <c r="K12"/>
  <c r="K13"/>
  <c r="M12"/>
  <c r="M13"/>
  <c r="J14"/>
  <c r="J41" i="4"/>
  <c r="M9" i="10"/>
  <c r="M10" s="1"/>
  <c r="K38" i="9" s="1"/>
  <c r="M11" i="10"/>
  <c r="K21" i="9" s="1"/>
  <c r="K41" s="1"/>
  <c r="M7" i="10"/>
  <c r="M8" s="1"/>
  <c r="K8"/>
  <c r="K7"/>
  <c r="L7" s="1"/>
  <c r="N13" i="6"/>
  <c r="N25" s="1"/>
  <c r="N8" i="9" l="1"/>
  <c r="N9" s="1"/>
  <c r="I6" i="11" s="1"/>
  <c r="K42" i="9"/>
  <c r="K47" s="1"/>
  <c r="K46"/>
  <c r="K51"/>
  <c r="K52" s="1"/>
  <c r="K36"/>
  <c r="K18"/>
  <c r="K29" s="1"/>
  <c r="J18" i="6"/>
  <c r="N26"/>
  <c r="J28"/>
  <c r="I21"/>
  <c r="J29"/>
  <c r="J24"/>
  <c r="N29"/>
  <c r="J31"/>
  <c r="J25"/>
  <c r="J26"/>
  <c r="K16" i="9" l="1"/>
  <c r="K25"/>
  <c r="N28" i="6"/>
  <c r="N31" s="1"/>
  <c r="A4" i="9" s="1"/>
  <c r="C6" i="10" s="1"/>
  <c r="J35" i="9" l="1"/>
  <c r="J15"/>
  <c r="I11"/>
  <c r="B15" i="10"/>
  <c r="G12"/>
  <c r="C10"/>
  <c r="G11"/>
  <c r="B4" i="9" s="1"/>
  <c r="G9" i="10"/>
  <c r="G10" s="1"/>
  <c r="C18"/>
  <c r="C11"/>
  <c r="C7"/>
  <c r="N29"/>
  <c r="C5"/>
  <c r="C8"/>
  <c r="C13"/>
  <c r="N36" i="6"/>
  <c r="C9" i="10"/>
  <c r="C17"/>
  <c r="N15"/>
  <c r="C1" s="1"/>
  <c r="C12"/>
  <c r="G13"/>
  <c r="J61" i="9" l="1"/>
  <c r="J62" s="1"/>
  <c r="L21"/>
  <c r="L13" i="11"/>
  <c r="J17" s="1"/>
  <c r="B11" i="9"/>
  <c r="L26" i="11"/>
  <c r="L28"/>
  <c r="J33" s="1"/>
  <c r="K24" i="10"/>
  <c r="L11" i="11"/>
  <c r="J20" i="9"/>
  <c r="J40"/>
  <c r="J18"/>
  <c r="J38"/>
  <c r="J51" s="1"/>
  <c r="L14" i="11"/>
  <c r="D26" i="10"/>
  <c r="K21"/>
  <c r="C25"/>
  <c r="D24"/>
  <c r="E25"/>
  <c r="D23"/>
  <c r="F21"/>
  <c r="F22" s="1"/>
  <c r="C26"/>
  <c r="C22"/>
  <c r="E24"/>
  <c r="M21"/>
  <c r="M22" s="1"/>
  <c r="K23"/>
  <c r="C27"/>
  <c r="E22"/>
  <c r="D27"/>
  <c r="E23"/>
  <c r="E27"/>
  <c r="G7"/>
  <c r="G21" s="1"/>
  <c r="H21" s="1"/>
  <c r="C23"/>
  <c r="C24"/>
  <c r="D22"/>
  <c r="D25"/>
  <c r="E26"/>
  <c r="E21"/>
  <c r="K22"/>
  <c r="K27"/>
  <c r="K25"/>
  <c r="K26"/>
  <c r="J29" i="9" l="1"/>
  <c r="L12" i="11"/>
  <c r="J56" i="9"/>
  <c r="J57" s="1"/>
  <c r="J58" s="1"/>
  <c r="L61"/>
  <c r="L34" s="1"/>
  <c r="L24"/>
  <c r="L22"/>
  <c r="L23" s="1"/>
  <c r="L41"/>
  <c r="L46" s="1"/>
  <c r="L29" i="11"/>
  <c r="L30" i="9"/>
  <c r="L31" s="1"/>
  <c r="J36"/>
  <c r="L25"/>
  <c r="J21"/>
  <c r="J41" s="1"/>
  <c r="J46" s="1"/>
  <c r="L27" i="11"/>
  <c r="K33" s="1"/>
  <c r="F25" i="10"/>
  <c r="J24" i="9" s="1"/>
  <c r="J45" s="1"/>
  <c r="F23" i="10"/>
  <c r="G8"/>
  <c r="M23"/>
  <c r="J16" i="9"/>
  <c r="G22" i="10"/>
  <c r="H22" s="1"/>
  <c r="F26"/>
  <c r="L10" i="11" l="1"/>
  <c r="K17" s="1"/>
  <c r="J34"/>
  <c r="L62" i="9"/>
  <c r="L56" s="1"/>
  <c r="J59"/>
  <c r="J60" s="1"/>
  <c r="L42"/>
  <c r="J52"/>
  <c r="L25" i="11"/>
  <c r="J25" i="9"/>
  <c r="J18" i="11"/>
  <c r="L26" i="9"/>
  <c r="J22"/>
  <c r="F24" i="10"/>
  <c r="J23" i="9" s="1"/>
  <c r="J30"/>
  <c r="M24" i="10"/>
  <c r="M25" s="1"/>
  <c r="M26" s="1"/>
  <c r="G23"/>
  <c r="H23" s="1"/>
  <c r="M27"/>
  <c r="G26"/>
  <c r="H26" s="1"/>
  <c r="F27"/>
  <c r="L44" i="9" l="1"/>
  <c r="J34"/>
  <c r="L45"/>
  <c r="I19" i="11"/>
  <c r="I20"/>
  <c r="I21"/>
  <c r="I18"/>
  <c r="L43" i="9"/>
  <c r="L57"/>
  <c r="L18" i="11"/>
  <c r="L19" s="1"/>
  <c r="J43" i="9"/>
  <c r="J44"/>
  <c r="K34" i="11"/>
  <c r="L32" i="9"/>
  <c r="J42"/>
  <c r="J47" s="1"/>
  <c r="L27"/>
  <c r="J21" i="11"/>
  <c r="J20"/>
  <c r="K18"/>
  <c r="J31" i="9"/>
  <c r="J32" s="1"/>
  <c r="J19" i="11"/>
  <c r="J26" i="9"/>
  <c r="G25" i="10"/>
  <c r="H25" s="1"/>
  <c r="G24"/>
  <c r="H24" s="1"/>
  <c r="G27"/>
  <c r="H27" s="1"/>
  <c r="J37" i="11" l="1"/>
  <c r="L35"/>
  <c r="L52" i="9"/>
  <c r="L34" i="11"/>
  <c r="I34" s="1"/>
  <c r="L58" i="9"/>
  <c r="L36" i="11" s="1"/>
  <c r="J35"/>
  <c r="L20"/>
  <c r="L21" s="1"/>
  <c r="L59" i="9"/>
  <c r="L37" i="11" s="1"/>
  <c r="J36"/>
  <c r="L54" i="9"/>
  <c r="J53"/>
  <c r="J48" s="1"/>
  <c r="L28"/>
  <c r="K19" i="11"/>
  <c r="J27" i="9"/>
  <c r="J28"/>
  <c r="L47" l="1"/>
  <c r="L53"/>
  <c r="L48" s="1"/>
  <c r="I35" i="11"/>
  <c r="I36"/>
  <c r="K35"/>
  <c r="K36"/>
  <c r="L49" i="9"/>
  <c r="L55"/>
  <c r="L50" s="1"/>
  <c r="L60"/>
  <c r="I37" i="11"/>
  <c r="J54" i="9"/>
  <c r="K20" i="11"/>
  <c r="K21"/>
  <c r="J49" i="9" l="1"/>
  <c r="K37" i="11" s="1"/>
  <c r="J55" i="9"/>
  <c r="J50" s="1"/>
</calcChain>
</file>

<file path=xl/sharedStrings.xml><?xml version="1.0" encoding="utf-8"?>
<sst xmlns="http://schemas.openxmlformats.org/spreadsheetml/2006/main" count="304" uniqueCount="199">
  <si>
    <t>Taxes</t>
  </si>
  <si>
    <t>Insurance</t>
  </si>
  <si>
    <t>Gross Monthly Income</t>
  </si>
  <si>
    <t>Association Fee</t>
  </si>
  <si>
    <t>Current Monthly PITIA Pmt</t>
  </si>
  <si>
    <t>+</t>
  </si>
  <si>
    <t>=</t>
  </si>
  <si>
    <t>months</t>
  </si>
  <si>
    <t>Requires Input</t>
  </si>
  <si>
    <t>New mortgage term</t>
  </si>
  <si>
    <t>Property value</t>
  </si>
  <si>
    <t>(i) Post-mod LTV = 115%</t>
  </si>
  <si>
    <t>New UPB</t>
  </si>
  <si>
    <t>Amount to forbear</t>
  </si>
  <si>
    <t>Forbearance</t>
  </si>
  <si>
    <t>Post-mod DTI</t>
  </si>
  <si>
    <t>Answer</t>
  </si>
  <si>
    <t>Target PI Payment</t>
  </si>
  <si>
    <t>Target 31% Front End DTI</t>
  </si>
  <si>
    <t>31% of Gross Monthly Income</t>
  </si>
  <si>
    <t>Target PITIA</t>
  </si>
  <si>
    <t>Subtract TIA</t>
  </si>
  <si>
    <t>Interest Rate That Meets</t>
  </si>
  <si>
    <t>Remaining Term on Loan</t>
  </si>
  <si>
    <t>CURRENT MONTHLY PITIA AMOUNT</t>
  </si>
  <si>
    <t>Monthly PITIA Payment</t>
  </si>
  <si>
    <t>Linked Cell</t>
  </si>
  <si>
    <t>Formula Cell</t>
  </si>
  <si>
    <t>Post-mod P&amp;I payment</t>
  </si>
  <si>
    <t>Post-mod PITIA payment</t>
  </si>
  <si>
    <t>BORROWER INFORMATION</t>
  </si>
  <si>
    <t>Employment Income</t>
  </si>
  <si>
    <t>Rental income</t>
  </si>
  <si>
    <t>Subtotal</t>
  </si>
  <si>
    <t>Co-Borrower</t>
  </si>
  <si>
    <t>MORTGAGE INFORMATION</t>
  </si>
  <si>
    <t>Interest Rate</t>
  </si>
  <si>
    <t>Grossed up</t>
  </si>
  <si>
    <t>Rental Property?</t>
  </si>
  <si>
    <t>No</t>
  </si>
  <si>
    <t>Original Principal</t>
  </si>
  <si>
    <t>Estimated Value of Property</t>
  </si>
  <si>
    <t>Borrower Gross Monthly Income</t>
  </si>
  <si>
    <t>Unpaid Principal Balance</t>
  </si>
  <si>
    <t>Reduced by 25%</t>
  </si>
  <si>
    <t>MODIFICATION TERMS</t>
  </si>
  <si>
    <t>Principal &amp; Interest</t>
  </si>
  <si>
    <t>Primary Residence</t>
  </si>
  <si>
    <t>Rental Property</t>
  </si>
  <si>
    <t>Loan Terms</t>
  </si>
  <si>
    <t>Target P &amp; I Payment</t>
  </si>
  <si>
    <t>Date of First Payment</t>
  </si>
  <si>
    <t xml:space="preserve">Percent Reduction </t>
  </si>
  <si>
    <t>New interest-bearing principal balance</t>
  </si>
  <si>
    <t>IS THE BORROWER ELIGIBLE?</t>
  </si>
  <si>
    <t>CAPITALIZE THE ARREARAGE</t>
  </si>
  <si>
    <t>DETERMINE THE NEW PAYMENT</t>
  </si>
  <si>
    <t>REDUCE INTEREST RATE</t>
  </si>
  <si>
    <t>TIER 1 WATERFALL</t>
  </si>
  <si>
    <t>HAMP BORROWER INPUTS</t>
  </si>
  <si>
    <t xml:space="preserve"> months</t>
  </si>
  <si>
    <t>Timing of Employment Income</t>
  </si>
  <si>
    <t>Monthly Employment Income</t>
  </si>
  <si>
    <t>Monthly Contribution</t>
  </si>
  <si>
    <t>Monthly Fixed Income</t>
  </si>
  <si>
    <t>Monthly Property Taxes</t>
  </si>
  <si>
    <t>Monthly Homeowner's Insurance</t>
  </si>
  <si>
    <t>Monthly Association Fees</t>
  </si>
  <si>
    <t>UPB Information:</t>
  </si>
  <si>
    <t>Result Cell</t>
  </si>
  <si>
    <t>Cell Color Code</t>
  </si>
  <si>
    <t>(ii) 30% of capitalized UPB</t>
  </si>
  <si>
    <t>Monthly Untaxed Income</t>
  </si>
  <si>
    <t>Years</t>
  </si>
  <si>
    <t>Monthly P&amp;I</t>
  </si>
  <si>
    <t>Amortizing Principal</t>
  </si>
  <si>
    <t>Monthly PITIA</t>
  </si>
  <si>
    <t>Number of Payments</t>
  </si>
  <si>
    <t>Term in Months</t>
  </si>
  <si>
    <t>Owner Type</t>
  </si>
  <si>
    <t>MFY Legal Services Inc.'s Proprietary Waterfall Worksheet</t>
  </si>
  <si>
    <t>Current Interest Rate</t>
  </si>
  <si>
    <t>DTI Low</t>
  </si>
  <si>
    <t>DTI High</t>
  </si>
  <si>
    <t>Bank of America</t>
  </si>
  <si>
    <t>Chase</t>
  </si>
  <si>
    <t>Ocwen</t>
  </si>
  <si>
    <t>OneWest</t>
  </si>
  <si>
    <t>Citi</t>
  </si>
  <si>
    <t>SPS</t>
  </si>
  <si>
    <t>Nationstar</t>
  </si>
  <si>
    <t>PNC/National City</t>
  </si>
  <si>
    <t>Wells Fargo/ASC</t>
  </si>
  <si>
    <t>Carrington</t>
  </si>
  <si>
    <t>US Bank</t>
  </si>
  <si>
    <t>Green Tree</t>
  </si>
  <si>
    <t>SLS</t>
  </si>
  <si>
    <t>Bank United</t>
  </si>
  <si>
    <t>Bayview</t>
  </si>
  <si>
    <t>Penny Mac</t>
  </si>
  <si>
    <t>Other</t>
  </si>
  <si>
    <t>Capitalized UPB</t>
  </si>
  <si>
    <t>Current Principal Balance</t>
  </si>
  <si>
    <t>EXTEND THE TERM</t>
  </si>
  <si>
    <t>Rate Type</t>
  </si>
  <si>
    <t>Fixed Rate</t>
  </si>
  <si>
    <t>Amount of Balloon Payment</t>
  </si>
  <si>
    <t>Amount of Forbearance</t>
  </si>
  <si>
    <t>TEST FOR AFFORDABILITY</t>
  </si>
  <si>
    <t>Most Recent Standard Integrated into Worksheet</t>
  </si>
  <si>
    <t>For questions or comments about this worksheet, please contact Joseph Rebella</t>
  </si>
  <si>
    <t>Arrears and UPB</t>
  </si>
  <si>
    <t>Maybe</t>
  </si>
  <si>
    <t>Yes</t>
  </si>
  <si>
    <t>GSE,P31=Yes,P37=Yes</t>
  </si>
  <si>
    <t>Streamline Only</t>
  </si>
  <si>
    <t>Forbear the lesser of….</t>
  </si>
  <si>
    <t>2MP Options</t>
  </si>
  <si>
    <t>Custom</t>
  </si>
  <si>
    <t>Second Lien Servicer</t>
  </si>
  <si>
    <t>Modification Type</t>
  </si>
  <si>
    <t>First Lien Inputs</t>
  </si>
  <si>
    <t>Second Lien Inputs</t>
  </si>
  <si>
    <t>Est. UPB at Default</t>
  </si>
  <si>
    <t>2nd Lien Loan Type</t>
  </si>
  <si>
    <t>UPB and Arrears</t>
  </si>
  <si>
    <t>Allowable Fees &amp; Costs</t>
  </si>
  <si>
    <t>Interest Arrears</t>
  </si>
  <si>
    <t>Principal Balance</t>
  </si>
  <si>
    <t>Initial Rate</t>
  </si>
  <si>
    <t>Term</t>
  </si>
  <si>
    <t>Initial P&amp;I Payment</t>
  </si>
  <si>
    <t>Principal Forbearance</t>
  </si>
  <si>
    <t>Second Lien Modification Program (2MP)</t>
  </si>
  <si>
    <t>2nd Amortizing:</t>
  </si>
  <si>
    <t>2nd Months Left:</t>
  </si>
  <si>
    <t>Rate</t>
  </si>
  <si>
    <t>Payment</t>
  </si>
  <si>
    <t>Step 2 Rate</t>
  </si>
  <si>
    <t>Step 3 Rate</t>
  </si>
  <si>
    <t>Step 4 Rate</t>
  </si>
  <si>
    <t>Step 5 Rate</t>
  </si>
  <si>
    <t>Step 2 PMT</t>
  </si>
  <si>
    <t>Step 3 PMT</t>
  </si>
  <si>
    <t>Step 4 PMT</t>
  </si>
  <si>
    <t>Step 5 PMT</t>
  </si>
  <si>
    <t>Step 2 AUPB</t>
  </si>
  <si>
    <t>Step 3 AUPB</t>
  </si>
  <si>
    <t>Step 4 AUPB</t>
  </si>
  <si>
    <t>Step 5 AUPB</t>
  </si>
  <si>
    <t>Custom Steps</t>
  </si>
  <si>
    <t>Amortization Year</t>
  </si>
  <si>
    <t>Amortization Step</t>
  </si>
  <si>
    <t>Amortization Month</t>
  </si>
  <si>
    <t>Step 2 Months</t>
  </si>
  <si>
    <t>Step 3 Months</t>
  </si>
  <si>
    <t>Step 4 Months</t>
  </si>
  <si>
    <t>Step 5 Months</t>
  </si>
  <si>
    <t>Non-Am Steps:</t>
  </si>
  <si>
    <t>Am Steps</t>
  </si>
  <si>
    <t>Step 6 Rate</t>
  </si>
  <si>
    <t>Step 6 Months</t>
  </si>
  <si>
    <t>Step 6 AUPB</t>
  </si>
  <si>
    <t>Step 6 PMT</t>
  </si>
  <si>
    <t>2MP Results</t>
  </si>
  <si>
    <t>Months Interest Only</t>
  </si>
  <si>
    <t>Date Interest-Only Period Ends</t>
  </si>
  <si>
    <t>2nd Lien Payment</t>
  </si>
  <si>
    <t>Size and Payment Eligibility</t>
  </si>
  <si>
    <t>DTI</t>
  </si>
  <si>
    <t>DTI Bad?</t>
  </si>
  <si>
    <t>Payment Reduction</t>
  </si>
  <si>
    <t>Non-GSE, rangeunknown, P32=Yes, P38=Yes</t>
  </si>
  <si>
    <t>P36=No</t>
  </si>
  <si>
    <t>Not SLINE, P30=No</t>
  </si>
  <si>
    <t>SLINE, P36=YES, P30=NO</t>
  </si>
  <si>
    <t>Rangeunknown, P36 &amp; P30=YES, Not P38 or Not 32</t>
  </si>
  <si>
    <t>Non-GSE, Not rangeunknown, P32=Yes, P36=Yes</t>
  </si>
  <si>
    <t>BSI Financial Services</t>
  </si>
  <si>
    <t>iServe</t>
  </si>
  <si>
    <t>ServisOne</t>
  </si>
  <si>
    <t>Post-Mod LTV</t>
  </si>
  <si>
    <t>Non-GSE</t>
  </si>
  <si>
    <t>HAMP Streamline Only</t>
  </si>
  <si>
    <t>GSE Streamline Only</t>
  </si>
  <si>
    <t>Current as of FNMA Servicing Announcement 2015-12</t>
  </si>
  <si>
    <t>Current as of FDMC Servicing Bulletin 2015-15</t>
  </si>
  <si>
    <t>Current as of Supplemental Directive 15-08</t>
  </si>
  <si>
    <t>Standard Modification Terms</t>
  </si>
  <si>
    <t>Tier 2 Terms</t>
  </si>
  <si>
    <t>Streamline Modification Terms</t>
  </si>
  <si>
    <t>2MP Servicers</t>
  </si>
  <si>
    <t>Tier 2 Servicer</t>
  </si>
  <si>
    <t>Tier Two Outcomes</t>
  </si>
  <si>
    <t>Biweekly</t>
  </si>
  <si>
    <t>Only Default Date</t>
  </si>
  <si>
    <t>Worksheet HAMP</t>
  </si>
  <si>
    <t>Amortizing</t>
  </si>
  <si>
    <t>Is post-mod LTV greater than 115%?</t>
  </si>
</sst>
</file>

<file path=xl/styles.xml><?xml version="1.0" encoding="utf-8"?>
<styleSheet xmlns="http://schemas.openxmlformats.org/spreadsheetml/2006/main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&quot;Yes&quot;;&quot;Yes&quot;;&quot;No&quot;"/>
    <numFmt numFmtId="167" formatCode="0.000%"/>
    <numFmt numFmtId="168" formatCode="_([$$-409]* #,##0.00_);_([$$-409]* \(#,##0.00\);_([$$-409]* &quot;-&quot;??_);_(@_)"/>
    <numFmt numFmtId="169" formatCode="_(&quot;$&quot;* #,##0.000_);_(&quot;$&quot;* \(#,##0.000\);_(&quot;$&quot;* &quot;-&quot;???_);_(@_)"/>
  </numFmts>
  <fonts count="3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color indexed="12"/>
      <name val="Arial"/>
      <family val="2"/>
    </font>
    <font>
      <i/>
      <sz val="10"/>
      <name val="Arial"/>
      <family val="2"/>
    </font>
    <font>
      <b/>
      <u/>
      <sz val="14"/>
      <name val="Times New Roman"/>
      <family val="1"/>
    </font>
    <font>
      <sz val="12"/>
      <name val="Arial"/>
      <family val="2"/>
    </font>
    <font>
      <u/>
      <sz val="10"/>
      <color indexed="12"/>
      <name val="Verdana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u/>
      <sz val="10"/>
      <color indexed="12"/>
      <name val="Verdana"/>
      <family val="2"/>
    </font>
    <font>
      <b/>
      <u/>
      <sz val="11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color theme="3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u/>
      <sz val="12"/>
      <name val="Times New Roman"/>
      <family val="1"/>
    </font>
    <font>
      <sz val="10"/>
      <name val="Times New Roman"/>
      <family val="1"/>
    </font>
    <font>
      <i/>
      <sz val="8"/>
      <name val="Arial"/>
      <family val="2"/>
    </font>
    <font>
      <sz val="10"/>
      <color theme="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4"/>
      <color theme="0"/>
      <name val="Times New Roman"/>
      <family val="1"/>
    </font>
    <font>
      <b/>
      <sz val="10"/>
      <color theme="0"/>
      <name val="Arial"/>
      <family val="2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A7A7A7"/>
        <bgColor indexed="64"/>
      </patternFill>
    </fill>
    <fill>
      <patternFill patternType="solid">
        <fgColor rgb="FFFFFF99"/>
        <bgColor indexed="64"/>
      </patternFill>
    </fill>
    <fill>
      <patternFill patternType="darkGray">
        <bgColor indexed="8"/>
      </patternFill>
    </fill>
    <fill>
      <patternFill patternType="darkGray">
        <bgColor theme="1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427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Fill="1"/>
    <xf numFmtId="43" fontId="0" fillId="0" borderId="0" xfId="0" applyNumberFormat="1" applyBorder="1"/>
    <xf numFmtId="0" fontId="0" fillId="0" borderId="0" xfId="0" applyFill="1" applyBorder="1"/>
    <xf numFmtId="0" fontId="0" fillId="4" borderId="2" xfId="0" applyFill="1" applyBorder="1"/>
    <xf numFmtId="0" fontId="0" fillId="0" borderId="4" xfId="0" applyBorder="1"/>
    <xf numFmtId="0" fontId="0" fillId="0" borderId="5" xfId="0" applyBorder="1"/>
    <xf numFmtId="0" fontId="6" fillId="0" borderId="0" xfId="0" applyFont="1" applyBorder="1" applyAlignment="1">
      <alignment horizontal="center"/>
    </xf>
    <xf numFmtId="0" fontId="0" fillId="6" borderId="0" xfId="0" applyFill="1" applyBorder="1"/>
    <xf numFmtId="0" fontId="15" fillId="0" borderId="0" xfId="0" applyFont="1" applyBorder="1"/>
    <xf numFmtId="0" fontId="0" fillId="0" borderId="8" xfId="0" applyBorder="1"/>
    <xf numFmtId="43" fontId="1" fillId="0" borderId="0" xfId="1" applyBorder="1"/>
    <xf numFmtId="0" fontId="8" fillId="0" borderId="0" xfId="0" applyFont="1" applyBorder="1"/>
    <xf numFmtId="0" fontId="0" fillId="0" borderId="0" xfId="0" quotePrefix="1" applyBorder="1"/>
    <xf numFmtId="0" fontId="6" fillId="0" borderId="0" xfId="0" applyFont="1" applyBorder="1"/>
    <xf numFmtId="0" fontId="3" fillId="0" borderId="0" xfId="0" applyFont="1" applyFill="1" applyBorder="1"/>
    <xf numFmtId="0" fontId="6" fillId="6" borderId="0" xfId="0" applyFont="1" applyFill="1" applyBorder="1"/>
    <xf numFmtId="0" fontId="4" fillId="0" borderId="0" xfId="0" applyFont="1" applyBorder="1"/>
    <xf numFmtId="0" fontId="0" fillId="0" borderId="10" xfId="0" applyBorder="1"/>
    <xf numFmtId="0" fontId="0" fillId="6" borderId="10" xfId="0" applyFill="1" applyBorder="1"/>
    <xf numFmtId="0" fontId="13" fillId="0" borderId="0" xfId="0" applyFont="1" applyBorder="1"/>
    <xf numFmtId="0" fontId="14" fillId="0" borderId="0" xfId="2" applyFont="1" applyBorder="1" applyAlignment="1" applyProtection="1"/>
    <xf numFmtId="0" fontId="16" fillId="0" borderId="0" xfId="0" applyFont="1" applyFill="1" applyBorder="1" applyAlignment="1">
      <alignment horizontal="center"/>
    </xf>
    <xf numFmtId="0" fontId="9" fillId="0" borderId="0" xfId="0" applyFont="1" applyBorder="1"/>
    <xf numFmtId="0" fontId="7" fillId="0" borderId="0" xfId="0" applyFont="1" applyBorder="1"/>
    <xf numFmtId="0" fontId="12" fillId="0" borderId="0" xfId="0" applyFont="1" applyBorder="1"/>
    <xf numFmtId="10" fontId="1" fillId="0" borderId="0" xfId="3" applyNumberFormat="1" applyFill="1" applyBorder="1"/>
    <xf numFmtId="0" fontId="3" fillId="0" borderId="0" xfId="0" applyFont="1"/>
    <xf numFmtId="0" fontId="0" fillId="0" borderId="13" xfId="0" applyBorder="1"/>
    <xf numFmtId="0" fontId="4" fillId="0" borderId="14" xfId="0" applyFont="1" applyBorder="1"/>
    <xf numFmtId="14" fontId="1" fillId="3" borderId="2" xfId="1" applyNumberFormat="1" applyFill="1" applyBorder="1" applyProtection="1">
      <protection locked="0"/>
    </xf>
    <xf numFmtId="1" fontId="1" fillId="2" borderId="2" xfId="1" applyNumberFormat="1" applyFill="1" applyBorder="1"/>
    <xf numFmtId="0" fontId="6" fillId="0" borderId="0" xfId="0" applyFont="1"/>
    <xf numFmtId="43" fontId="8" fillId="0" borderId="0" xfId="1" applyFont="1" applyBorder="1"/>
    <xf numFmtId="167" fontId="1" fillId="7" borderId="2" xfId="3" applyNumberFormat="1" applyFill="1" applyBorder="1" applyProtection="1">
      <protection locked="0"/>
    </xf>
    <xf numFmtId="44" fontId="1" fillId="3" borderId="2" xfId="4" applyFill="1" applyBorder="1" applyAlignment="1" applyProtection="1">
      <protection locked="0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4" fontId="1" fillId="4" borderId="12" xfId="4" applyFill="1" applyBorder="1"/>
    <xf numFmtId="44" fontId="0" fillId="2" borderId="2" xfId="4" applyFont="1" applyFill="1" applyBorder="1"/>
    <xf numFmtId="44" fontId="6" fillId="2" borderId="2" xfId="4" applyFont="1" applyFill="1" applyBorder="1"/>
    <xf numFmtId="14" fontId="0" fillId="0" borderId="0" xfId="0" applyNumberFormat="1"/>
    <xf numFmtId="0" fontId="0" fillId="9" borderId="0" xfId="0" applyFill="1" applyBorder="1"/>
    <xf numFmtId="0" fontId="18" fillId="9" borderId="0" xfId="0" applyFont="1" applyFill="1" applyBorder="1"/>
    <xf numFmtId="167" fontId="6" fillId="9" borderId="0" xfId="3" applyNumberFormat="1" applyFont="1" applyFill="1" applyBorder="1"/>
    <xf numFmtId="165" fontId="6" fillId="9" borderId="0" xfId="1" applyNumberFormat="1" applyFont="1" applyFill="1" applyBorder="1"/>
    <xf numFmtId="10" fontId="1" fillId="10" borderId="2" xfId="3" applyNumberFormat="1" applyFill="1" applyBorder="1" applyAlignment="1">
      <alignment horizontal="right"/>
    </xf>
    <xf numFmtId="10" fontId="20" fillId="0" borderId="0" xfId="3" applyNumberFormat="1" applyFont="1" applyBorder="1"/>
    <xf numFmtId="44" fontId="0" fillId="9" borderId="16" xfId="4" applyFont="1" applyFill="1" applyBorder="1"/>
    <xf numFmtId="44" fontId="0" fillId="2" borderId="15" xfId="4" applyFont="1" applyFill="1" applyBorder="1"/>
    <xf numFmtId="0" fontId="6" fillId="0" borderId="0" xfId="0" applyFont="1" applyFill="1" applyBorder="1"/>
    <xf numFmtId="165" fontId="1" fillId="7" borderId="2" xfId="1" applyNumberFormat="1" applyFill="1" applyBorder="1" applyAlignment="1" applyProtection="1">
      <alignment horizontal="right"/>
      <protection locked="0"/>
    </xf>
    <xf numFmtId="44" fontId="3" fillId="4" borderId="2" xfId="4" applyFont="1" applyFill="1" applyBorder="1"/>
    <xf numFmtId="44" fontId="1" fillId="0" borderId="0" xfId="4" applyBorder="1"/>
    <xf numFmtId="44" fontId="1" fillId="4" borderId="2" xfId="4" applyFill="1" applyBorder="1"/>
    <xf numFmtId="44" fontId="1" fillId="9" borderId="0" xfId="4" applyFill="1" applyBorder="1"/>
    <xf numFmtId="44" fontId="1" fillId="2" borderId="2" xfId="4" applyFill="1" applyBorder="1" applyAlignment="1"/>
    <xf numFmtId="44" fontId="1" fillId="2" borderId="2" xfId="4" applyFill="1" applyBorder="1" applyAlignment="1">
      <alignment horizontal="left"/>
    </xf>
    <xf numFmtId="44" fontId="1" fillId="3" borderId="2" xfId="4" applyFill="1" applyBorder="1" applyAlignment="1" applyProtection="1">
      <alignment horizontal="left"/>
      <protection locked="0"/>
    </xf>
    <xf numFmtId="44" fontId="0" fillId="0" borderId="0" xfId="4" applyFont="1" applyAlignment="1">
      <alignment horizontal="left"/>
    </xf>
    <xf numFmtId="44" fontId="1" fillId="0" borderId="0" xfId="4" applyFill="1" applyBorder="1" applyAlignment="1">
      <alignment horizontal="left"/>
    </xf>
    <xf numFmtId="44" fontId="3" fillId="0" borderId="0" xfId="4" applyFont="1" applyFill="1" applyBorder="1" applyAlignment="1">
      <alignment horizontal="left"/>
    </xf>
    <xf numFmtId="44" fontId="0" fillId="0" borderId="0" xfId="4" applyFont="1" applyBorder="1" applyAlignment="1">
      <alignment horizontal="left"/>
    </xf>
    <xf numFmtId="44" fontId="1" fillId="4" borderId="2" xfId="4" applyFill="1" applyBorder="1" applyAlignment="1">
      <alignment horizontal="left"/>
    </xf>
    <xf numFmtId="43" fontId="6" fillId="0" borderId="0" xfId="1" applyFont="1" applyBorder="1"/>
    <xf numFmtId="44" fontId="0" fillId="4" borderId="2" xfId="4" applyFont="1" applyFill="1" applyBorder="1" applyAlignment="1">
      <alignment horizontal="left"/>
    </xf>
    <xf numFmtId="44" fontId="1" fillId="7" borderId="2" xfId="4" applyFill="1" applyBorder="1" applyAlignment="1" applyProtection="1">
      <protection locked="0"/>
    </xf>
    <xf numFmtId="0" fontId="0" fillId="9" borderId="0" xfId="0" applyFill="1"/>
    <xf numFmtId="0" fontId="0" fillId="9" borderId="10" xfId="0" applyFill="1" applyBorder="1"/>
    <xf numFmtId="0" fontId="0" fillId="9" borderId="11" xfId="0" applyFill="1" applyBorder="1"/>
    <xf numFmtId="0" fontId="20" fillId="9" borderId="0" xfId="0" applyFont="1" applyFill="1" applyBorder="1"/>
    <xf numFmtId="44" fontId="0" fillId="11" borderId="1" xfId="4" applyFont="1" applyFill="1" applyBorder="1" applyAlignment="1" applyProtection="1">
      <alignment horizontal="right"/>
    </xf>
    <xf numFmtId="167" fontId="6" fillId="11" borderId="2" xfId="3" applyNumberFormat="1" applyFont="1" applyFill="1" applyBorder="1"/>
    <xf numFmtId="165" fontId="6" fillId="11" borderId="2" xfId="1" applyNumberFormat="1" applyFont="1" applyFill="1" applyBorder="1"/>
    <xf numFmtId="44" fontId="6" fillId="11" borderId="2" xfId="4" applyFont="1" applyFill="1" applyBorder="1" applyAlignment="1">
      <alignment horizontal="left"/>
    </xf>
    <xf numFmtId="0" fontId="23" fillId="9" borderId="4" xfId="0" applyFont="1" applyFill="1" applyBorder="1"/>
    <xf numFmtId="0" fontId="23" fillId="9" borderId="8" xfId="0" applyFont="1" applyFill="1" applyBorder="1"/>
    <xf numFmtId="0" fontId="23" fillId="9" borderId="0" xfId="0" applyFont="1" applyFill="1" applyBorder="1"/>
    <xf numFmtId="44" fontId="6" fillId="11" borderId="2" xfId="0" applyNumberFormat="1" applyFont="1" applyFill="1" applyBorder="1" applyAlignment="1">
      <alignment horizontal="left"/>
    </xf>
    <xf numFmtId="0" fontId="6" fillId="9" borderId="7" xfId="0" applyFont="1" applyFill="1" applyBorder="1"/>
    <xf numFmtId="165" fontId="0" fillId="10" borderId="2" xfId="1" applyNumberFormat="1" applyFont="1" applyFill="1" applyBorder="1" applyProtection="1"/>
    <xf numFmtId="44" fontId="6" fillId="10" borderId="2" xfId="4" applyFont="1" applyFill="1" applyBorder="1" applyProtection="1"/>
    <xf numFmtId="44" fontId="6" fillId="9" borderId="0" xfId="4" applyFont="1" applyFill="1" applyBorder="1" applyAlignment="1">
      <alignment horizontal="left"/>
    </xf>
    <xf numFmtId="0" fontId="6" fillId="8" borderId="7" xfId="0" applyFont="1" applyFill="1" applyBorder="1"/>
    <xf numFmtId="0" fontId="6" fillId="9" borderId="5" xfId="0" applyFont="1" applyFill="1" applyBorder="1"/>
    <xf numFmtId="0" fontId="6" fillId="9" borderId="6" xfId="0" applyFont="1" applyFill="1" applyBorder="1"/>
    <xf numFmtId="0" fontId="6" fillId="9" borderId="10" xfId="0" applyFont="1" applyFill="1" applyBorder="1"/>
    <xf numFmtId="0" fontId="23" fillId="9" borderId="5" xfId="0" applyFont="1" applyFill="1" applyBorder="1"/>
    <xf numFmtId="0" fontId="21" fillId="9" borderId="5" xfId="0" applyFont="1" applyFill="1" applyBorder="1" applyAlignment="1">
      <alignment horizontal="center"/>
    </xf>
    <xf numFmtId="0" fontId="21" fillId="8" borderId="6" xfId="0" applyFont="1" applyFill="1" applyBorder="1" applyAlignment="1">
      <alignment horizontal="center"/>
    </xf>
    <xf numFmtId="0" fontId="0" fillId="9" borderId="5" xfId="0" applyFill="1" applyBorder="1"/>
    <xf numFmtId="0" fontId="24" fillId="0" borderId="10" xfId="0" applyFont="1" applyBorder="1" applyAlignment="1">
      <alignment horizontal="right"/>
    </xf>
    <xf numFmtId="0" fontId="0" fillId="7" borderId="2" xfId="0" applyFill="1" applyBorder="1" applyAlignment="1" applyProtection="1">
      <alignment horizontal="right"/>
      <protection locked="0"/>
    </xf>
    <xf numFmtId="44" fontId="0" fillId="7" borderId="2" xfId="4" applyFont="1" applyFill="1" applyBorder="1" applyAlignment="1" applyProtection="1">
      <alignment horizontal="left"/>
      <protection locked="0"/>
    </xf>
    <xf numFmtId="0" fontId="0" fillId="0" borderId="4" xfId="0" applyBorder="1" applyProtection="1"/>
    <xf numFmtId="0" fontId="0" fillId="0" borderId="5" xfId="0" applyBorder="1" applyProtection="1"/>
    <xf numFmtId="0" fontId="0" fillId="6" borderId="5" xfId="0" applyFill="1" applyBorder="1" applyProtection="1"/>
    <xf numFmtId="0" fontId="0" fillId="0" borderId="0" xfId="0" applyProtection="1"/>
    <xf numFmtId="0" fontId="0" fillId="0" borderId="8" xfId="0" applyBorder="1" applyProtection="1"/>
    <xf numFmtId="0" fontId="9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Fill="1" applyBorder="1" applyProtection="1"/>
    <xf numFmtId="0" fontId="0" fillId="6" borderId="0" xfId="0" applyFill="1" applyBorder="1" applyProtection="1"/>
    <xf numFmtId="0" fontId="15" fillId="0" borderId="0" xfId="0" applyFont="1" applyBorder="1" applyProtection="1"/>
    <xf numFmtId="0" fontId="17" fillId="0" borderId="0" xfId="0" applyFont="1" applyBorder="1" applyProtection="1"/>
    <xf numFmtId="44" fontId="0" fillId="4" borderId="2" xfId="4" applyFont="1" applyFill="1" applyBorder="1" applyProtection="1"/>
    <xf numFmtId="10" fontId="0" fillId="2" borderId="2" xfId="0" applyNumberFormat="1" applyFill="1" applyBorder="1" applyProtection="1"/>
    <xf numFmtId="0" fontId="3" fillId="0" borderId="0" xfId="0" applyFont="1" applyBorder="1" applyProtection="1"/>
    <xf numFmtId="44" fontId="3" fillId="4" borderId="2" xfId="4" applyFont="1" applyFill="1" applyBorder="1" applyProtection="1"/>
    <xf numFmtId="43" fontId="0" fillId="0" borderId="0" xfId="0" applyNumberFormat="1" applyBorder="1" applyProtection="1"/>
    <xf numFmtId="0" fontId="3" fillId="2" borderId="2" xfId="0" applyFont="1" applyFill="1" applyBorder="1" applyAlignment="1" applyProtection="1">
      <alignment horizontal="right"/>
    </xf>
    <xf numFmtId="0" fontId="8" fillId="0" borderId="0" xfId="0" applyFont="1" applyBorder="1" applyProtection="1"/>
    <xf numFmtId="0" fontId="13" fillId="0" borderId="0" xfId="0" applyFont="1" applyBorder="1" applyProtection="1"/>
    <xf numFmtId="43" fontId="1" fillId="0" borderId="0" xfId="1" applyBorder="1" applyProtection="1"/>
    <xf numFmtId="165" fontId="5" fillId="0" borderId="0" xfId="1" applyNumberFormat="1" applyFont="1" applyBorder="1" applyProtection="1"/>
    <xf numFmtId="0" fontId="6" fillId="0" borderId="0" xfId="0" applyFont="1" applyBorder="1" applyProtection="1"/>
    <xf numFmtId="44" fontId="0" fillId="2" borderId="2" xfId="4" applyFont="1" applyFill="1" applyBorder="1" applyAlignment="1" applyProtection="1">
      <alignment horizontal="left"/>
    </xf>
    <xf numFmtId="44" fontId="1" fillId="4" borderId="2" xfId="4" applyFill="1" applyBorder="1" applyProtection="1"/>
    <xf numFmtId="0" fontId="0" fillId="0" borderId="0" xfId="0" quotePrefix="1" applyBorder="1" applyProtection="1"/>
    <xf numFmtId="44" fontId="0" fillId="0" borderId="0" xfId="4" applyFont="1" applyBorder="1" applyAlignment="1" applyProtection="1">
      <alignment horizontal="left"/>
    </xf>
    <xf numFmtId="0" fontId="0" fillId="0" borderId="0" xfId="0" applyFont="1" applyFill="1" applyBorder="1" applyProtection="1"/>
    <xf numFmtId="44" fontId="3" fillId="2" borderId="2" xfId="4" applyFont="1" applyFill="1" applyBorder="1" applyProtection="1"/>
    <xf numFmtId="0" fontId="3" fillId="0" borderId="0" xfId="0" applyFont="1" applyFill="1" applyBorder="1" applyProtection="1"/>
    <xf numFmtId="44" fontId="6" fillId="2" borderId="2" xfId="4" applyFont="1" applyFill="1" applyBorder="1" applyAlignment="1" applyProtection="1">
      <alignment horizontal="left"/>
    </xf>
    <xf numFmtId="0" fontId="0" fillId="4" borderId="2" xfId="0" applyFill="1" applyBorder="1" applyProtection="1"/>
    <xf numFmtId="10" fontId="1" fillId="0" borderId="0" xfId="3" applyNumberFormat="1" applyBorder="1" applyProtection="1"/>
    <xf numFmtId="44" fontId="6" fillId="2" borderId="2" xfId="4" applyFont="1" applyFill="1" applyBorder="1" applyProtection="1"/>
    <xf numFmtId="0" fontId="6" fillId="6" borderId="0" xfId="0" applyFont="1" applyFill="1" applyBorder="1" applyProtection="1"/>
    <xf numFmtId="0" fontId="3" fillId="9" borderId="0" xfId="0" applyFont="1" applyFill="1" applyBorder="1" applyAlignment="1" applyProtection="1">
      <alignment horizontal="right"/>
    </xf>
    <xf numFmtId="10" fontId="3" fillId="0" borderId="0" xfId="1" applyNumberFormat="1" applyFont="1" applyBorder="1" applyProtection="1"/>
    <xf numFmtId="164" fontId="5" fillId="0" borderId="0" xfId="1" applyNumberFormat="1" applyFont="1" applyBorder="1" applyAlignment="1" applyProtection="1">
      <alignment horizontal="center"/>
    </xf>
    <xf numFmtId="0" fontId="5" fillId="5" borderId="3" xfId="0" applyFont="1" applyFill="1" applyBorder="1" applyAlignment="1" applyProtection="1">
      <alignment horizontal="center"/>
    </xf>
    <xf numFmtId="0" fontId="0" fillId="0" borderId="10" xfId="0" applyBorder="1" applyProtection="1"/>
    <xf numFmtId="166" fontId="6" fillId="3" borderId="2" xfId="0" applyNumberFormat="1" applyFont="1" applyFill="1" applyBorder="1" applyAlignment="1" applyProtection="1">
      <alignment horizontal="right"/>
      <protection locked="0"/>
    </xf>
    <xf numFmtId="44" fontId="1" fillId="9" borderId="0" xfId="4" applyFill="1" applyBorder="1" applyAlignment="1">
      <alignment horizontal="left"/>
    </xf>
    <xf numFmtId="44" fontId="1" fillId="4" borderId="12" xfId="4" applyFill="1" applyBorder="1" applyProtection="1"/>
    <xf numFmtId="44" fontId="3" fillId="2" borderId="15" xfId="4" applyFont="1" applyFill="1" applyBorder="1" applyProtection="1"/>
    <xf numFmtId="44" fontId="1" fillId="9" borderId="16" xfId="4" applyFill="1" applyBorder="1" applyProtection="1"/>
    <xf numFmtId="0" fontId="1" fillId="0" borderId="0" xfId="0" applyFont="1"/>
    <xf numFmtId="0" fontId="26" fillId="0" borderId="0" xfId="0" applyFont="1" applyBorder="1"/>
    <xf numFmtId="0" fontId="3" fillId="9" borderId="0" xfId="0" applyFont="1" applyFill="1" applyBorder="1" applyAlignment="1">
      <alignment horizontal="center"/>
    </xf>
    <xf numFmtId="0" fontId="28" fillId="9" borderId="0" xfId="0" applyFont="1" applyFill="1" applyBorder="1" applyAlignment="1">
      <alignment horizontal="center"/>
    </xf>
    <xf numFmtId="10" fontId="0" fillId="9" borderId="0" xfId="3" applyNumberFormat="1" applyFont="1" applyFill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168" fontId="1" fillId="3" borderId="2" xfId="4" applyNumberFormat="1" applyFill="1" applyBorder="1" applyAlignment="1" applyProtection="1">
      <alignment horizontal="left"/>
      <protection locked="0"/>
    </xf>
    <xf numFmtId="10" fontId="1" fillId="9" borderId="0" xfId="3" applyNumberFormat="1" applyFont="1" applyFill="1"/>
    <xf numFmtId="0" fontId="1" fillId="0" borderId="0" xfId="0" quotePrefix="1" applyFont="1" applyBorder="1" applyProtection="1"/>
    <xf numFmtId="0" fontId="29" fillId="0" borderId="0" xfId="0" applyFont="1" applyBorder="1" applyProtection="1"/>
    <xf numFmtId="0" fontId="1" fillId="0" borderId="0" xfId="0" applyFont="1" applyBorder="1" applyProtection="1"/>
    <xf numFmtId="0" fontId="3" fillId="9" borderId="0" xfId="0" applyFont="1" applyFill="1" applyBorder="1" applyProtection="1"/>
    <xf numFmtId="0" fontId="25" fillId="0" borderId="5" xfId="0" applyFont="1" applyBorder="1" applyProtection="1">
      <protection hidden="1"/>
    </xf>
    <xf numFmtId="0" fontId="25" fillId="9" borderId="0" xfId="0" applyFont="1" applyFill="1" applyProtection="1">
      <protection hidden="1"/>
    </xf>
    <xf numFmtId="0" fontId="0" fillId="9" borderId="0" xfId="0" applyFill="1" applyProtection="1"/>
    <xf numFmtId="0" fontId="1" fillId="9" borderId="0" xfId="0" applyFont="1" applyFill="1" applyBorder="1"/>
    <xf numFmtId="44" fontId="6" fillId="10" borderId="2" xfId="4" applyFont="1" applyFill="1" applyBorder="1"/>
    <xf numFmtId="0" fontId="0" fillId="9" borderId="0" xfId="0" applyFill="1" applyAlignment="1">
      <alignment horizontal="left" vertical="top"/>
    </xf>
    <xf numFmtId="0" fontId="23" fillId="9" borderId="8" xfId="0" applyFont="1" applyFill="1" applyBorder="1" applyAlignment="1">
      <alignment horizontal="left" vertical="top"/>
    </xf>
    <xf numFmtId="0" fontId="6" fillId="9" borderId="0" xfId="0" applyFont="1" applyFill="1" applyBorder="1" applyAlignment="1">
      <alignment horizontal="left" vertical="top"/>
    </xf>
    <xf numFmtId="0" fontId="6" fillId="8" borderId="7" xfId="0" applyFont="1" applyFill="1" applyBorder="1" applyAlignment="1">
      <alignment horizontal="left" vertical="top"/>
    </xf>
    <xf numFmtId="0" fontId="6" fillId="9" borderId="7" xfId="0" applyFont="1" applyFill="1" applyBorder="1" applyAlignment="1">
      <alignment horizontal="left" vertical="top"/>
    </xf>
    <xf numFmtId="167" fontId="3" fillId="2" borderId="1" xfId="3" applyNumberFormat="1" applyFont="1" applyFill="1" applyBorder="1" applyAlignment="1">
      <alignment horizontal="center"/>
    </xf>
    <xf numFmtId="167" fontId="0" fillId="0" borderId="0" xfId="3" applyNumberFormat="1" applyFont="1" applyBorder="1"/>
    <xf numFmtId="0" fontId="3" fillId="0" borderId="10" xfId="0" applyFont="1" applyBorder="1"/>
    <xf numFmtId="44" fontId="1" fillId="9" borderId="10" xfId="4" applyFill="1" applyBorder="1"/>
    <xf numFmtId="0" fontId="4" fillId="0" borderId="10" xfId="0" applyFont="1" applyBorder="1"/>
    <xf numFmtId="44" fontId="1" fillId="9" borderId="10" xfId="4" applyFill="1" applyBorder="1" applyAlignment="1">
      <alignment horizontal="left"/>
    </xf>
    <xf numFmtId="0" fontId="24" fillId="0" borderId="10" xfId="0" applyFont="1" applyBorder="1" applyAlignment="1" applyProtection="1">
      <alignment horizontal="right" vertical="top"/>
      <protection hidden="1"/>
    </xf>
    <xf numFmtId="0" fontId="0" fillId="0" borderId="10" xfId="0" applyBorder="1" applyProtection="1">
      <protection locked="0"/>
    </xf>
    <xf numFmtId="44" fontId="1" fillId="4" borderId="12" xfId="4" applyFill="1" applyBorder="1" applyAlignment="1" applyProtection="1"/>
    <xf numFmtId="0" fontId="0" fillId="9" borderId="0" xfId="0" applyFill="1" applyBorder="1" applyProtection="1"/>
    <xf numFmtId="167" fontId="6" fillId="11" borderId="12" xfId="3" applyNumberFormat="1" applyFont="1" applyFill="1" applyBorder="1"/>
    <xf numFmtId="44" fontId="1" fillId="10" borderId="12" xfId="4" applyFill="1" applyBorder="1" applyAlignment="1" applyProtection="1">
      <alignment horizontal="left"/>
    </xf>
    <xf numFmtId="0" fontId="25" fillId="0" borderId="5" xfId="0" applyFont="1" applyBorder="1" applyAlignment="1" applyProtection="1">
      <protection hidden="1"/>
    </xf>
    <xf numFmtId="0" fontId="3" fillId="0" borderId="0" xfId="0" applyFont="1" applyBorder="1" applyAlignment="1"/>
    <xf numFmtId="44" fontId="0" fillId="10" borderId="2" xfId="4" applyFont="1" applyFill="1" applyBorder="1"/>
    <xf numFmtId="0" fontId="0" fillId="9" borderId="9" xfId="0" applyFill="1" applyBorder="1"/>
    <xf numFmtId="44" fontId="3" fillId="2" borderId="2" xfId="4" applyFont="1" applyFill="1" applyBorder="1"/>
    <xf numFmtId="44" fontId="0" fillId="0" borderId="0" xfId="4" applyFont="1" applyFill="1"/>
    <xf numFmtId="44" fontId="0" fillId="0" borderId="0" xfId="0" applyNumberFormat="1" applyFill="1"/>
    <xf numFmtId="169" fontId="0" fillId="0" borderId="0" xfId="0" applyNumberFormat="1" applyFill="1"/>
    <xf numFmtId="9" fontId="0" fillId="0" borderId="0" xfId="0" applyNumberFormat="1"/>
    <xf numFmtId="0" fontId="19" fillId="0" borderId="0" xfId="0" applyFont="1" applyBorder="1" applyAlignment="1">
      <alignment horizontal="center" vertical="center" wrapText="1"/>
    </xf>
    <xf numFmtId="14" fontId="1" fillId="2" borderId="15" xfId="1" applyNumberFormat="1" applyFill="1" applyBorder="1"/>
    <xf numFmtId="0" fontId="0" fillId="9" borderId="7" xfId="0" applyFill="1" applyBorder="1"/>
    <xf numFmtId="0" fontId="18" fillId="9" borderId="7" xfId="0" applyFont="1" applyFill="1" applyBorder="1"/>
    <xf numFmtId="167" fontId="1" fillId="2" borderId="2" xfId="0" applyNumberFormat="1" applyFont="1" applyFill="1" applyBorder="1"/>
    <xf numFmtId="0" fontId="25" fillId="9" borderId="6" xfId="0" applyFont="1" applyFill="1" applyBorder="1"/>
    <xf numFmtId="0" fontId="25" fillId="9" borderId="7" xfId="0" applyFont="1" applyFill="1" applyBorder="1"/>
    <xf numFmtId="0" fontId="25" fillId="9" borderId="11" xfId="0" applyFont="1" applyFill="1" applyBorder="1"/>
    <xf numFmtId="0" fontId="7" fillId="0" borderId="0" xfId="0" applyFont="1" applyBorder="1" applyProtection="1"/>
    <xf numFmtId="43" fontId="0" fillId="0" borderId="0" xfId="0" applyNumberForma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24" fillId="0" borderId="10" xfId="0" applyFont="1" applyBorder="1" applyAlignment="1" applyProtection="1">
      <alignment horizontal="right"/>
    </xf>
    <xf numFmtId="0" fontId="0" fillId="9" borderId="7" xfId="0" applyFill="1" applyBorder="1" applyProtection="1"/>
    <xf numFmtId="0" fontId="6" fillId="9" borderId="7" xfId="0" applyFont="1" applyFill="1" applyBorder="1" applyProtection="1"/>
    <xf numFmtId="0" fontId="30" fillId="0" borderId="0" xfId="2" applyFont="1" applyBorder="1" applyAlignment="1" applyProtection="1"/>
    <xf numFmtId="0" fontId="0" fillId="9" borderId="11" xfId="0" applyFill="1" applyBorder="1" applyProtection="1"/>
    <xf numFmtId="0" fontId="0" fillId="9" borderId="18" xfId="0" applyFill="1" applyBorder="1" applyProtection="1"/>
    <xf numFmtId="167" fontId="3" fillId="10" borderId="12" xfId="3" applyNumberFormat="1" applyFont="1" applyFill="1" applyBorder="1" applyProtection="1"/>
    <xf numFmtId="44" fontId="1" fillId="2" borderId="15" xfId="4" applyFill="1" applyBorder="1" applyAlignment="1">
      <alignment horizontal="left"/>
    </xf>
    <xf numFmtId="0" fontId="1" fillId="0" borderId="0" xfId="0" applyFont="1" applyFill="1" applyBorder="1"/>
    <xf numFmtId="0" fontId="1" fillId="0" borderId="0" xfId="5" applyBorder="1"/>
    <xf numFmtId="0" fontId="1" fillId="0" borderId="0" xfId="5" applyFont="1" applyBorder="1"/>
    <xf numFmtId="44" fontId="1" fillId="3" borderId="2" xfId="4" applyFill="1" applyBorder="1" applyAlignment="1" applyProtection="1">
      <alignment horizontal="left"/>
      <protection locked="0"/>
    </xf>
    <xf numFmtId="44" fontId="1" fillId="3" borderId="12" xfId="4" applyFill="1" applyBorder="1" applyAlignment="1" applyProtection="1">
      <alignment horizontal="left"/>
      <protection locked="0"/>
    </xf>
    <xf numFmtId="44" fontId="1" fillId="2" borderId="12" xfId="4" applyFill="1" applyBorder="1" applyAlignment="1">
      <alignment horizontal="left"/>
    </xf>
    <xf numFmtId="44" fontId="1" fillId="9" borderId="16" xfId="4" applyFill="1" applyBorder="1" applyAlignment="1">
      <alignment horizontal="left"/>
    </xf>
    <xf numFmtId="44" fontId="1" fillId="7" borderId="2" xfId="4" applyFont="1" applyFill="1" applyBorder="1" applyAlignment="1" applyProtection="1">
      <alignment horizontal="right"/>
      <protection locked="0"/>
    </xf>
    <xf numFmtId="14" fontId="1" fillId="7" borderId="2" xfId="4" applyNumberFormat="1" applyFont="1" applyFill="1" applyBorder="1" applyAlignment="1" applyProtection="1">
      <alignment horizontal="right"/>
      <protection locked="0"/>
    </xf>
    <xf numFmtId="44" fontId="1" fillId="13" borderId="2" xfId="4" applyFill="1" applyBorder="1" applyAlignment="1" applyProtection="1">
      <alignment horizontal="left"/>
    </xf>
    <xf numFmtId="0" fontId="30" fillId="3" borderId="2" xfId="0" applyFont="1" applyFill="1" applyBorder="1" applyAlignment="1">
      <alignment horizontal="center"/>
    </xf>
    <xf numFmtId="0" fontId="30" fillId="10" borderId="2" xfId="0" applyFont="1" applyFill="1" applyBorder="1" applyAlignment="1">
      <alignment horizontal="center"/>
    </xf>
    <xf numFmtId="0" fontId="30" fillId="2" borderId="2" xfId="0" applyFont="1" applyFill="1" applyBorder="1" applyAlignment="1">
      <alignment horizontal="center"/>
    </xf>
    <xf numFmtId="0" fontId="30" fillId="11" borderId="2" xfId="0" applyFont="1" applyFill="1" applyBorder="1" applyAlignment="1">
      <alignment horizontal="center"/>
    </xf>
    <xf numFmtId="0" fontId="30" fillId="3" borderId="19" xfId="0" applyFont="1" applyFill="1" applyBorder="1" applyAlignment="1">
      <alignment horizontal="center"/>
    </xf>
    <xf numFmtId="0" fontId="30" fillId="10" borderId="20" xfId="0" applyFont="1" applyFill="1" applyBorder="1" applyAlignment="1">
      <alignment horizontal="center"/>
    </xf>
    <xf numFmtId="0" fontId="30" fillId="2" borderId="21" xfId="0" applyFont="1" applyFill="1" applyBorder="1" applyAlignment="1">
      <alignment horizontal="center"/>
    </xf>
    <xf numFmtId="0" fontId="30" fillId="11" borderId="22" xfId="0" applyFont="1" applyFill="1" applyBorder="1" applyAlignment="1">
      <alignment horizontal="center"/>
    </xf>
    <xf numFmtId="44" fontId="0" fillId="13" borderId="2" xfId="0" applyNumberFormat="1" applyFill="1" applyBorder="1" applyProtection="1"/>
    <xf numFmtId="10" fontId="1" fillId="10" borderId="2" xfId="3" applyNumberFormat="1" applyFont="1" applyFill="1" applyBorder="1" applyProtection="1">
      <protection locked="0"/>
    </xf>
    <xf numFmtId="0" fontId="0" fillId="10" borderId="2" xfId="0" applyFill="1" applyBorder="1" applyProtection="1"/>
    <xf numFmtId="44" fontId="1" fillId="10" borderId="2" xfId="4" applyFill="1" applyBorder="1" applyProtection="1"/>
    <xf numFmtId="0" fontId="24" fillId="9" borderId="11" xfId="0" applyFont="1" applyFill="1" applyBorder="1" applyAlignment="1">
      <alignment horizontal="right"/>
    </xf>
    <xf numFmtId="0" fontId="24" fillId="9" borderId="9" xfId="0" applyFont="1" applyFill="1" applyBorder="1"/>
    <xf numFmtId="0" fontId="19" fillId="0" borderId="0" xfId="0" applyFont="1" applyBorder="1" applyAlignment="1">
      <alignment horizontal="center" vertical="center" wrapText="1"/>
    </xf>
    <xf numFmtId="0" fontId="24" fillId="9" borderId="10" xfId="0" applyFont="1" applyFill="1" applyBorder="1"/>
    <xf numFmtId="0" fontId="15" fillId="9" borderId="0" xfId="0" applyFont="1" applyFill="1" applyBorder="1"/>
    <xf numFmtId="0" fontId="8" fillId="9" borderId="0" xfId="0" applyFont="1" applyFill="1" applyBorder="1" applyAlignment="1">
      <alignment horizontal="left" vertical="top"/>
    </xf>
    <xf numFmtId="0" fontId="6" fillId="9" borderId="0" xfId="0" applyFont="1" applyFill="1" applyBorder="1"/>
    <xf numFmtId="0" fontId="0" fillId="9" borderId="8" xfId="0" applyFill="1" applyBorder="1"/>
    <xf numFmtId="0" fontId="25" fillId="0" borderId="0" xfId="0" applyFont="1" applyBorder="1"/>
    <xf numFmtId="0" fontId="0" fillId="0" borderId="7" xfId="0" applyBorder="1"/>
    <xf numFmtId="44" fontId="25" fillId="0" borderId="0" xfId="0" applyNumberFormat="1" applyFont="1" applyBorder="1"/>
    <xf numFmtId="44" fontId="25" fillId="0" borderId="0" xfId="4" applyFont="1" applyBorder="1"/>
    <xf numFmtId="0" fontId="0" fillId="0" borderId="10" xfId="0" applyBorder="1" applyAlignment="1">
      <alignment horizontal="center"/>
    </xf>
    <xf numFmtId="167" fontId="0" fillId="0" borderId="10" xfId="3" applyNumberFormat="1" applyFont="1" applyBorder="1"/>
    <xf numFmtId="0" fontId="0" fillId="9" borderId="8" xfId="0" applyFill="1" applyBorder="1" applyAlignment="1">
      <alignment horizontal="left" vertical="top"/>
    </xf>
    <xf numFmtId="0" fontId="0" fillId="9" borderId="4" xfId="0" applyFill="1" applyBorder="1"/>
    <xf numFmtId="0" fontId="24" fillId="9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4" fontId="0" fillId="9" borderId="0" xfId="4" applyFont="1" applyFill="1" applyBorder="1"/>
    <xf numFmtId="44" fontId="0" fillId="0" borderId="0" xfId="4" applyFont="1" applyBorder="1" applyAlignment="1">
      <alignment horizontal="center"/>
    </xf>
    <xf numFmtId="0" fontId="1" fillId="11" borderId="17" xfId="0" applyFont="1" applyFill="1" applyBorder="1"/>
    <xf numFmtId="0" fontId="1" fillId="11" borderId="16" xfId="0" applyFont="1" applyFill="1" applyBorder="1" applyAlignment="1">
      <alignment horizontal="center"/>
    </xf>
    <xf numFmtId="0" fontId="1" fillId="11" borderId="18" xfId="0" applyFont="1" applyFill="1" applyBorder="1" applyAlignment="1">
      <alignment horizontal="left"/>
    </xf>
    <xf numFmtId="167" fontId="0" fillId="11" borderId="2" xfId="0" applyNumberFormat="1" applyFill="1" applyBorder="1"/>
    <xf numFmtId="44" fontId="0" fillId="11" borderId="2" xfId="0" applyNumberFormat="1" applyFill="1" applyBorder="1"/>
    <xf numFmtId="0" fontId="0" fillId="11" borderId="2" xfId="0" applyFill="1" applyBorder="1"/>
    <xf numFmtId="0" fontId="0" fillId="11" borderId="17" xfId="0" applyFill="1" applyBorder="1"/>
    <xf numFmtId="0" fontId="0" fillId="11" borderId="16" xfId="0" applyFill="1" applyBorder="1" applyAlignment="1">
      <alignment horizontal="center"/>
    </xf>
    <xf numFmtId="0" fontId="0" fillId="11" borderId="18" xfId="0" applyFill="1" applyBorder="1" applyAlignment="1">
      <alignment horizontal="left"/>
    </xf>
    <xf numFmtId="167" fontId="0" fillId="11" borderId="2" xfId="3" applyNumberFormat="1" applyFont="1" applyFill="1" applyBorder="1"/>
    <xf numFmtId="44" fontId="0" fillId="11" borderId="2" xfId="4" applyFont="1" applyFill="1" applyBorder="1"/>
    <xf numFmtId="0" fontId="3" fillId="0" borderId="2" xfId="0" applyFont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0" borderId="2" xfId="0" applyFont="1" applyBorder="1"/>
    <xf numFmtId="0" fontId="8" fillId="9" borderId="0" xfId="0" applyFont="1" applyFill="1" applyBorder="1"/>
    <xf numFmtId="0" fontId="24" fillId="0" borderId="11" xfId="0" applyFont="1" applyBorder="1" applyAlignment="1">
      <alignment horizontal="right"/>
    </xf>
    <xf numFmtId="0" fontId="30" fillId="9" borderId="0" xfId="0" applyFont="1" applyFill="1" applyBorder="1" applyAlignment="1">
      <alignment horizontal="left"/>
    </xf>
    <xf numFmtId="165" fontId="6" fillId="11" borderId="12" xfId="1" applyNumberFormat="1" applyFont="1" applyFill="1" applyBorder="1"/>
    <xf numFmtId="44" fontId="6" fillId="9" borderId="0" xfId="4" applyFont="1" applyFill="1" applyBorder="1"/>
    <xf numFmtId="0" fontId="5" fillId="5" borderId="3" xfId="0" applyFont="1" applyFill="1" applyBorder="1" applyAlignment="1" applyProtection="1">
      <alignment horizontal="center" vertical="center"/>
    </xf>
    <xf numFmtId="10" fontId="0" fillId="7" borderId="2" xfId="3" applyNumberFormat="1" applyFont="1" applyFill="1" applyBorder="1" applyProtection="1">
      <protection locked="0"/>
    </xf>
    <xf numFmtId="167" fontId="0" fillId="0" borderId="0" xfId="3" applyNumberFormat="1" applyFont="1"/>
    <xf numFmtId="44" fontId="3" fillId="2" borderId="2" xfId="4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/>
    </xf>
    <xf numFmtId="44" fontId="0" fillId="2" borderId="12" xfId="4" applyFont="1" applyFill="1" applyBorder="1" applyAlignment="1">
      <alignment vertical="center"/>
    </xf>
    <xf numFmtId="0" fontId="0" fillId="14" borderId="0" xfId="0" applyFill="1" applyBorder="1"/>
    <xf numFmtId="0" fontId="0" fillId="15" borderId="0" xfId="0" applyFill="1" applyBorder="1"/>
    <xf numFmtId="0" fontId="6" fillId="14" borderId="0" xfId="0" applyFont="1" applyFill="1" applyBorder="1"/>
    <xf numFmtId="0" fontId="0" fillId="14" borderId="5" xfId="0" applyFill="1" applyBorder="1"/>
    <xf numFmtId="0" fontId="0" fillId="14" borderId="10" xfId="0" applyFill="1" applyBorder="1"/>
    <xf numFmtId="0" fontId="30" fillId="7" borderId="2" xfId="0" applyFont="1" applyFill="1" applyBorder="1" applyAlignment="1" applyProtection="1">
      <alignment horizontal="right" vertical="center"/>
      <protection locked="0"/>
    </xf>
    <xf numFmtId="0" fontId="1" fillId="7" borderId="2" xfId="0" applyFont="1" applyFill="1" applyBorder="1" applyAlignment="1" applyProtection="1">
      <alignment horizontal="right" vertical="center"/>
      <protection locked="0"/>
    </xf>
    <xf numFmtId="44" fontId="1" fillId="5" borderId="3" xfId="4" applyFill="1" applyBorder="1" applyAlignment="1">
      <alignment horizontal="left" vertical="center"/>
    </xf>
    <xf numFmtId="0" fontId="6" fillId="0" borderId="0" xfId="0" applyFont="1" applyAlignment="1"/>
    <xf numFmtId="9" fontId="0" fillId="0" borderId="0" xfId="3" applyFont="1"/>
    <xf numFmtId="44" fontId="25" fillId="9" borderId="0" xfId="4" applyFont="1" applyFill="1" applyBorder="1" applyAlignment="1">
      <alignment horizontal="left" vertical="center"/>
    </xf>
    <xf numFmtId="44" fontId="6" fillId="9" borderId="0" xfId="4" applyFont="1" applyFill="1" applyBorder="1" applyProtection="1"/>
    <xf numFmtId="9" fontId="0" fillId="0" borderId="0" xfId="3" applyFont="1" applyBorder="1" applyProtection="1"/>
    <xf numFmtId="9" fontId="3" fillId="0" borderId="0" xfId="3" applyFont="1" applyBorder="1" applyProtection="1"/>
    <xf numFmtId="9" fontId="3" fillId="0" borderId="0" xfId="3" applyFont="1" applyBorder="1" applyAlignment="1" applyProtection="1">
      <alignment horizontal="center"/>
    </xf>
    <xf numFmtId="9" fontId="6" fillId="9" borderId="0" xfId="3" applyFont="1" applyFill="1" applyBorder="1"/>
    <xf numFmtId="9" fontId="6" fillId="9" borderId="0" xfId="3" applyFont="1" applyFill="1" applyBorder="1" applyAlignment="1">
      <alignment horizontal="left"/>
    </xf>
    <xf numFmtId="167" fontId="1" fillId="3" borderId="2" xfId="3" applyNumberFormat="1" applyFont="1" applyFill="1" applyBorder="1" applyProtection="1">
      <protection locked="0"/>
    </xf>
    <xf numFmtId="167" fontId="3" fillId="9" borderId="5" xfId="3" applyNumberFormat="1" applyFont="1" applyFill="1" applyBorder="1" applyProtection="1">
      <protection locked="0"/>
    </xf>
    <xf numFmtId="0" fontId="30" fillId="0" borderId="0" xfId="0" applyFont="1" applyBorder="1"/>
    <xf numFmtId="0" fontId="30" fillId="0" borderId="0" xfId="0" applyFont="1"/>
    <xf numFmtId="44" fontId="30" fillId="7" borderId="2" xfId="4" applyFont="1" applyFill="1" applyBorder="1" applyAlignment="1" applyProtection="1">
      <alignment horizontal="left"/>
      <protection locked="0"/>
    </xf>
    <xf numFmtId="44" fontId="30" fillId="7" borderId="2" xfId="4" applyFont="1" applyFill="1" applyBorder="1" applyAlignment="1" applyProtection="1">
      <alignment horizontal="left" vertical="center"/>
      <protection locked="0"/>
    </xf>
    <xf numFmtId="167" fontId="33" fillId="0" borderId="0" xfId="3" applyNumberFormat="1" applyFont="1" applyBorder="1" applyProtection="1"/>
    <xf numFmtId="44" fontId="1" fillId="9" borderId="5" xfId="4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44" fontId="0" fillId="13" borderId="2" xfId="4" applyFont="1" applyFill="1" applyBorder="1"/>
    <xf numFmtId="44" fontId="0" fillId="0" borderId="0" xfId="0" applyNumberFormat="1"/>
    <xf numFmtId="44" fontId="0" fillId="0" borderId="0" xfId="4" applyFont="1"/>
    <xf numFmtId="8" fontId="0" fillId="0" borderId="0" xfId="4" applyNumberFormat="1" applyFont="1"/>
    <xf numFmtId="165" fontId="0" fillId="11" borderId="2" xfId="1" applyNumberFormat="1" applyFont="1" applyFill="1" applyBorder="1"/>
    <xf numFmtId="44" fontId="1" fillId="7" borderId="2" xfId="4" applyFont="1" applyFill="1" applyBorder="1" applyAlignment="1"/>
    <xf numFmtId="43" fontId="0" fillId="0" borderId="0" xfId="1" applyFont="1"/>
    <xf numFmtId="43" fontId="0" fillId="0" borderId="0" xfId="1" applyNumberFormat="1" applyFont="1"/>
    <xf numFmtId="165" fontId="0" fillId="0" borderId="0" xfId="1" applyNumberFormat="1" applyFont="1"/>
    <xf numFmtId="16" fontId="0" fillId="11" borderId="2" xfId="0" applyNumberFormat="1" applyFill="1" applyBorder="1" applyAlignment="1">
      <alignment horizontal="center"/>
    </xf>
    <xf numFmtId="10" fontId="0" fillId="0" borderId="0" xfId="3" applyNumberFormat="1" applyFont="1"/>
    <xf numFmtId="8" fontId="0" fillId="0" borderId="0" xfId="3" applyNumberFormat="1" applyFont="1"/>
    <xf numFmtId="0" fontId="0" fillId="11" borderId="2" xfId="0" applyFill="1" applyBorder="1" applyAlignment="1">
      <alignment horizontal="center"/>
    </xf>
    <xf numFmtId="43" fontId="0" fillId="0" borderId="0" xfId="0" applyNumberFormat="1"/>
    <xf numFmtId="14" fontId="1" fillId="7" borderId="2" xfId="0" applyNumberFormat="1" applyFont="1" applyFill="1" applyBorder="1"/>
    <xf numFmtId="1" fontId="0" fillId="11" borderId="2" xfId="0" applyNumberFormat="1" applyFill="1" applyBorder="1"/>
    <xf numFmtId="1" fontId="0" fillId="11" borderId="2" xfId="1" applyNumberFormat="1" applyFont="1" applyFill="1" applyBorder="1" applyAlignment="1">
      <alignment horizontal="right"/>
    </xf>
    <xf numFmtId="0" fontId="0" fillId="9" borderId="0" xfId="0" applyFill="1" applyBorder="1" applyAlignment="1">
      <alignment horizontal="center"/>
    </xf>
    <xf numFmtId="167" fontId="0" fillId="9" borderId="0" xfId="3" applyNumberFormat="1" applyFont="1" applyFill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0" fontId="13" fillId="0" borderId="0" xfId="0" applyFont="1" applyBorder="1" applyAlignment="1"/>
    <xf numFmtId="0" fontId="6" fillId="0" borderId="0" xfId="0" applyFont="1" applyBorder="1" applyAlignment="1"/>
    <xf numFmtId="0" fontId="0" fillId="0" borderId="11" xfId="0" applyBorder="1"/>
    <xf numFmtId="0" fontId="0" fillId="8" borderId="5" xfId="0" applyFill="1" applyBorder="1"/>
    <xf numFmtId="0" fontId="0" fillId="8" borderId="0" xfId="0" applyFill="1" applyBorder="1"/>
    <xf numFmtId="0" fontId="0" fillId="8" borderId="0" xfId="0" applyFill="1" applyBorder="1" applyAlignment="1">
      <alignment horizontal="right"/>
    </xf>
    <xf numFmtId="0" fontId="0" fillId="8" borderId="10" xfId="0" applyFill="1" applyBorder="1"/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17" xfId="0" applyFill="1" applyBorder="1" applyAlignment="1">
      <alignment horizontal="right"/>
    </xf>
    <xf numFmtId="0" fontId="24" fillId="0" borderId="9" xfId="0" applyFont="1" applyBorder="1"/>
    <xf numFmtId="44" fontId="0" fillId="0" borderId="0" xfId="4" applyFont="1" applyAlignment="1">
      <alignment horizontal="right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7" fillId="0" borderId="0" xfId="0" applyFont="1" applyBorder="1"/>
    <xf numFmtId="0" fontId="8" fillId="0" borderId="0" xfId="0" applyFont="1"/>
    <xf numFmtId="44" fontId="0" fillId="7" borderId="2" xfId="4" applyFont="1" applyFill="1" applyBorder="1" applyProtection="1">
      <protection locked="0"/>
    </xf>
    <xf numFmtId="167" fontId="0" fillId="7" borderId="2" xfId="0" applyNumberFormat="1" applyFill="1" applyBorder="1" applyProtection="1">
      <protection locked="0"/>
    </xf>
    <xf numFmtId="0" fontId="0" fillId="7" borderId="2" xfId="0" applyFill="1" applyBorder="1" applyProtection="1">
      <protection locked="0"/>
    </xf>
    <xf numFmtId="44" fontId="25" fillId="0" borderId="0" xfId="4" applyFont="1" applyBorder="1" applyAlignment="1" applyProtection="1">
      <alignment vertical="center"/>
      <protection locked="0"/>
    </xf>
    <xf numFmtId="0" fontId="1" fillId="7" borderId="15" xfId="0" applyFont="1" applyFill="1" applyBorder="1" applyAlignment="1" applyProtection="1">
      <alignment horizontal="right"/>
      <protection locked="0"/>
    </xf>
    <xf numFmtId="0" fontId="1" fillId="7" borderId="2" xfId="0" applyFont="1" applyFill="1" applyBorder="1" applyAlignment="1" applyProtection="1">
      <alignment horizontal="right"/>
      <protection locked="0"/>
    </xf>
    <xf numFmtId="9" fontId="3" fillId="0" borderId="0" xfId="3" applyFont="1" applyBorder="1" applyAlignment="1" applyProtection="1">
      <alignment horizontal="left"/>
    </xf>
    <xf numFmtId="0" fontId="1" fillId="0" borderId="4" xfId="0" applyFont="1" applyBorder="1"/>
    <xf numFmtId="0" fontId="0" fillId="0" borderId="6" xfId="0" applyBorder="1"/>
    <xf numFmtId="0" fontId="1" fillId="0" borderId="8" xfId="0" applyFont="1" applyBorder="1"/>
    <xf numFmtId="0" fontId="1" fillId="0" borderId="9" xfId="0" applyFont="1" applyBorder="1"/>
    <xf numFmtId="9" fontId="0" fillId="0" borderId="10" xfId="3" applyFont="1" applyBorder="1"/>
    <xf numFmtId="9" fontId="0" fillId="0" borderId="0" xfId="3" applyFont="1" applyBorder="1"/>
    <xf numFmtId="0" fontId="1" fillId="0" borderId="12" xfId="0" applyFont="1" applyBorder="1"/>
    <xf numFmtId="0" fontId="1" fillId="0" borderId="23" xfId="0" applyFont="1" applyBorder="1"/>
    <xf numFmtId="0" fontId="1" fillId="0" borderId="15" xfId="0" applyFont="1" applyBorder="1"/>
    <xf numFmtId="0" fontId="1" fillId="0" borderId="5" xfId="0" applyFont="1" applyBorder="1"/>
    <xf numFmtId="0" fontId="0" fillId="0" borderId="9" xfId="0" applyBorder="1"/>
    <xf numFmtId="0" fontId="1" fillId="0" borderId="10" xfId="0" applyFont="1" applyBorder="1"/>
    <xf numFmtId="9" fontId="0" fillId="0" borderId="7" xfId="3" applyFont="1" applyBorder="1"/>
    <xf numFmtId="9" fontId="0" fillId="0" borderId="11" xfId="3" applyFont="1" applyBorder="1"/>
    <xf numFmtId="0" fontId="0" fillId="0" borderId="16" xfId="0" applyBorder="1"/>
    <xf numFmtId="8" fontId="0" fillId="0" borderId="0" xfId="0" applyNumberFormat="1"/>
    <xf numFmtId="0" fontId="13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2" fillId="0" borderId="8" xfId="0" applyFont="1" applyBorder="1" applyAlignment="1">
      <alignment horizontal="center"/>
    </xf>
    <xf numFmtId="0" fontId="32" fillId="12" borderId="2" xfId="0" applyFont="1" applyFill="1" applyBorder="1" applyAlignment="1">
      <alignment horizontal="center"/>
    </xf>
    <xf numFmtId="0" fontId="32" fillId="12" borderId="12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1" fillId="0" borderId="0" xfId="2" applyAlignment="1" applyProtection="1">
      <alignment horizontal="left" vertical="center"/>
    </xf>
    <xf numFmtId="0" fontId="35" fillId="0" borderId="0" xfId="2" applyFont="1" applyAlignment="1" applyProtection="1">
      <alignment horizontal="left" vertical="center"/>
    </xf>
    <xf numFmtId="0" fontId="35" fillId="0" borderId="7" xfId="2" applyFont="1" applyBorder="1" applyAlignment="1" applyProtection="1">
      <alignment horizontal="left" vertical="center"/>
    </xf>
    <xf numFmtId="0" fontId="34" fillId="0" borderId="0" xfId="2" applyFont="1" applyBorder="1" applyAlignment="1" applyProtection="1">
      <alignment horizontal="left" vertical="center"/>
    </xf>
    <xf numFmtId="0" fontId="13" fillId="0" borderId="0" xfId="0" applyFont="1" applyAlignment="1">
      <alignment horizontal="center"/>
    </xf>
    <xf numFmtId="0" fontId="13" fillId="0" borderId="7" xfId="0" applyFont="1" applyBorder="1" applyAlignment="1">
      <alignment horizontal="center"/>
    </xf>
    <xf numFmtId="0" fontId="32" fillId="12" borderId="2" xfId="0" applyFont="1" applyFill="1" applyBorder="1" applyAlignment="1" applyProtection="1">
      <alignment horizontal="center" wrapText="1"/>
      <protection hidden="1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3" fontId="5" fillId="0" borderId="17" xfId="1" applyFont="1" applyBorder="1" applyAlignment="1">
      <alignment horizontal="center" vertical="center"/>
    </xf>
    <xf numFmtId="43" fontId="5" fillId="0" borderId="16" xfId="1" applyFont="1" applyBorder="1" applyAlignment="1">
      <alignment horizontal="center" vertical="center"/>
    </xf>
    <xf numFmtId="43" fontId="5" fillId="0" borderId="18" xfId="1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32" fillId="12" borderId="4" xfId="0" applyFont="1" applyFill="1" applyBorder="1" applyAlignment="1" applyProtection="1">
      <alignment horizontal="center"/>
    </xf>
    <xf numFmtId="0" fontId="32" fillId="12" borderId="5" xfId="0" applyFont="1" applyFill="1" applyBorder="1" applyAlignment="1" applyProtection="1">
      <alignment horizontal="center"/>
    </xf>
    <xf numFmtId="0" fontId="32" fillId="12" borderId="6" xfId="0" applyFont="1" applyFill="1" applyBorder="1" applyAlignment="1" applyProtection="1">
      <alignment horizontal="center"/>
    </xf>
    <xf numFmtId="0" fontId="15" fillId="9" borderId="0" xfId="0" applyFont="1" applyFill="1" applyBorder="1"/>
    <xf numFmtId="0" fontId="6" fillId="9" borderId="0" xfId="0" applyFont="1" applyFill="1" applyBorder="1"/>
    <xf numFmtId="0" fontId="6" fillId="9" borderId="7" xfId="0" applyFont="1" applyFill="1" applyBorder="1"/>
    <xf numFmtId="0" fontId="35" fillId="9" borderId="10" xfId="2" applyFont="1" applyFill="1" applyBorder="1" applyAlignment="1" applyProtection="1">
      <alignment horizontal="right" vertical="top"/>
    </xf>
    <xf numFmtId="0" fontId="8" fillId="9" borderId="0" xfId="0" applyFont="1" applyFill="1" applyBorder="1" applyAlignment="1">
      <alignment horizontal="left" vertical="top"/>
    </xf>
    <xf numFmtId="0" fontId="32" fillId="1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7" fillId="9" borderId="8" xfId="0" applyFont="1" applyFill="1" applyBorder="1"/>
    <xf numFmtId="0" fontId="27" fillId="9" borderId="0" xfId="0" applyFont="1" applyFill="1" applyBorder="1"/>
    <xf numFmtId="0" fontId="27" fillId="9" borderId="7" xfId="0" applyFont="1" applyFill="1" applyBorder="1"/>
    <xf numFmtId="0" fontId="35" fillId="9" borderId="0" xfId="2" applyFont="1" applyFill="1" applyAlignment="1" applyProtection="1">
      <alignment horizontal="right"/>
    </xf>
    <xf numFmtId="44" fontId="0" fillId="11" borderId="2" xfId="4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0" fillId="9" borderId="0" xfId="0" applyFont="1" applyFill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2" fillId="12" borderId="17" xfId="0" applyFont="1" applyFill="1" applyBorder="1" applyAlignment="1" applyProtection="1">
      <alignment horizontal="center"/>
    </xf>
    <xf numFmtId="0" fontId="32" fillId="12" borderId="16" xfId="0" applyFont="1" applyFill="1" applyBorder="1" applyAlignment="1" applyProtection="1">
      <alignment horizontal="center"/>
    </xf>
    <xf numFmtId="0" fontId="32" fillId="12" borderId="18" xfId="0" applyFont="1" applyFill="1" applyBorder="1" applyAlignment="1" applyProtection="1">
      <alignment horizontal="center"/>
    </xf>
  </cellXfs>
  <cellStyles count="6">
    <cellStyle name="Comma" xfId="1" builtinId="3"/>
    <cellStyle name="Currency" xfId="4" builtinId="4"/>
    <cellStyle name="Hyperlink" xfId="2" builtinId="8"/>
    <cellStyle name="Normal" xfId="0" builtinId="0"/>
    <cellStyle name="Normal 2" xfId="5"/>
    <cellStyle name="Percent" xfId="3" builtinId="5"/>
  </cellStyles>
  <dxfs count="84">
    <dxf>
      <border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 val="0"/>
        <i/>
      </font>
    </dxf>
    <dxf>
      <font>
        <color theme="1"/>
      </font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</border>
    </dxf>
    <dxf>
      <font>
        <color theme="1"/>
      </font>
      <fill>
        <patternFill>
          <bgColor theme="1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 patternType="solid"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color theme="1"/>
      </font>
      <fill>
        <patternFill>
          <bgColor rgb="FFCC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numFmt numFmtId="0" formatCode="General"/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b val="0"/>
        <i/>
      </font>
    </dxf>
    <dxf>
      <font>
        <b/>
        <i val="0"/>
        <color theme="5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b val="0"/>
        <i/>
      </font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auto="1"/>
      </font>
      <fill>
        <patternFill>
          <bgColor theme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</font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 style="thin">
          <color auto="1"/>
        </top>
        <bottom/>
        <vertical/>
        <horizontal/>
      </border>
    </dxf>
  </dxfs>
  <tableStyles count="0" defaultTableStyle="TableStyleMedium9" defaultPivotStyle="PivotStyleLight16"/>
  <colors>
    <mruColors>
      <color rgb="FFCCFFFF"/>
      <color rgb="FFCCECFF"/>
      <color rgb="FFCC99FF"/>
      <color rgb="FFFFFF99"/>
      <color rgb="FFCCFFCC"/>
      <color rgb="FF0000FF"/>
      <color rgb="FFA7A7A7"/>
      <color rgb="FFFFFF66"/>
      <color rgb="FFFFFFCC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yfs2\Documents%20and%20Settings\nwoods\Local%20Settings\Temporary%20Internet%20Files\OLK141\HAMP%20Waterfall%20Workshe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HAMP Tier 1"/>
      <sheetName val="HAMP Tier 2"/>
      <sheetName val="Mod Terms"/>
      <sheetName val="Data Validation"/>
      <sheetName val="Waterfall Explanation"/>
      <sheetName val="Check for Balloon"/>
      <sheetName val="HAMP Amortization Schedule"/>
    </sheetNames>
    <sheetDataSet>
      <sheetData sheetId="0" refreshError="1"/>
      <sheetData sheetId="1" refreshError="1"/>
      <sheetData sheetId="2">
        <row r="7">
          <cell r="D7">
            <v>40</v>
          </cell>
        </row>
      </sheetData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jrebella@mfy.org?subject=HAMP%20&amp;%20GSE%20Waterfall%20Worksheet%2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jrebella@mfy.org?subject=HAMP%20&amp;%20GSE%20Waterfall%20Worksheet%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rgb="FFFFFF66"/>
    <pageSetUpPr autoPageBreaks="0"/>
  </sheetPr>
  <dimension ref="A1:AA53"/>
  <sheetViews>
    <sheetView showGridLines="0" tabSelected="1" zoomScaleNormal="100" workbookViewId="0">
      <selection activeCell="E37" sqref="E37"/>
    </sheetView>
  </sheetViews>
  <sheetFormatPr defaultRowHeight="12.75"/>
  <cols>
    <col min="1" max="1" width="3" customWidth="1"/>
    <col min="2" max="2" width="3.85546875" customWidth="1"/>
    <col min="3" max="3" width="7" customWidth="1"/>
    <col min="4" max="4" width="9.140625" customWidth="1"/>
    <col min="5" max="6" width="15" customWidth="1"/>
    <col min="7" max="7" width="5.140625" customWidth="1"/>
    <col min="8" max="8" width="10.28515625" customWidth="1"/>
    <col min="9" max="9" width="5.28515625" customWidth="1"/>
    <col min="10" max="10" width="6.5703125" customWidth="1"/>
    <col min="11" max="11" width="10.5703125" customWidth="1"/>
    <col min="12" max="12" width="9.7109375" customWidth="1"/>
    <col min="13" max="13" width="20.42578125" customWidth="1"/>
    <col min="14" max="14" width="19.5703125" customWidth="1"/>
    <col min="15" max="15" width="3.7109375" customWidth="1"/>
    <col min="16" max="16" width="3" customWidth="1"/>
    <col min="17" max="17" width="12.7109375" customWidth="1"/>
    <col min="18" max="18" width="11.28515625" bestFit="1" customWidth="1"/>
  </cols>
  <sheetData>
    <row r="1" spans="1:27" ht="18.75">
      <c r="A1" s="369" t="s">
        <v>59</v>
      </c>
      <c r="B1" s="369"/>
      <c r="C1" s="369"/>
      <c r="D1" s="369"/>
      <c r="E1" s="369"/>
      <c r="F1" s="369"/>
      <c r="G1" s="369"/>
      <c r="H1" s="369"/>
      <c r="I1" s="370"/>
      <c r="J1" s="369"/>
      <c r="K1" s="369"/>
      <c r="L1" s="369"/>
      <c r="M1" s="369"/>
      <c r="N1" s="369"/>
      <c r="O1" s="369"/>
      <c r="P1" s="369"/>
    </row>
    <row r="2" spans="1:27" ht="12.75" customHeight="1">
      <c r="A2" s="7"/>
      <c r="B2" s="175" t="str">
        <f>IF(Inputs!$O$45="MFY's Proprietary Waterfall Worksheet for HAMP Tiers 1 and 2","","MFY's Proprietary Waterfall Worksheet for HAMP Tiers 1 and 2")</f>
        <v>MFY's Proprietary Waterfall Worksheet for HAMP Tiers 1 and 2</v>
      </c>
      <c r="C2" s="8"/>
      <c r="D2" s="8"/>
      <c r="E2" s="8"/>
      <c r="F2" s="8"/>
      <c r="G2" s="8"/>
      <c r="H2" s="8"/>
      <c r="I2" s="275"/>
      <c r="J2" s="8"/>
      <c r="K2" s="8"/>
      <c r="L2" s="8"/>
      <c r="M2" s="8"/>
      <c r="N2" s="8"/>
      <c r="O2" s="8"/>
      <c r="P2" s="189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.75" customHeight="1" thickBot="1">
      <c r="A3" s="12"/>
      <c r="B3" s="16"/>
      <c r="C3" s="1"/>
      <c r="D3" s="1"/>
      <c r="E3" s="371" t="s">
        <v>70</v>
      </c>
      <c r="F3" s="371"/>
      <c r="G3" s="1"/>
      <c r="I3" s="272"/>
      <c r="J3" s="1"/>
      <c r="K3" s="366" t="s">
        <v>35</v>
      </c>
      <c r="L3" s="367"/>
      <c r="M3" s="367"/>
      <c r="N3" s="367"/>
      <c r="O3" s="1"/>
      <c r="P3" s="190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.75" customHeight="1">
      <c r="A4" s="12"/>
      <c r="E4" s="217" t="s">
        <v>8</v>
      </c>
      <c r="F4" s="218" t="s">
        <v>26</v>
      </c>
      <c r="I4" s="272"/>
      <c r="J4" s="1"/>
      <c r="K4" s="1"/>
      <c r="L4" s="1"/>
      <c r="M4" s="1"/>
      <c r="N4" s="1"/>
      <c r="O4" s="1"/>
      <c r="P4" s="190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 customHeight="1" thickBot="1">
      <c r="A5" s="12"/>
      <c r="E5" s="219" t="s">
        <v>27</v>
      </c>
      <c r="F5" s="220" t="s">
        <v>69</v>
      </c>
      <c r="I5" s="272"/>
      <c r="J5" s="1"/>
      <c r="K5" s="146" t="s">
        <v>79</v>
      </c>
      <c r="L5" s="1"/>
      <c r="M5" s="1"/>
      <c r="N5" s="278" t="s">
        <v>182</v>
      </c>
      <c r="O5" s="26"/>
      <c r="P5" s="190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2.75" customHeight="1">
      <c r="A6" s="12"/>
      <c r="B6" s="38"/>
      <c r="C6" s="39"/>
      <c r="D6" s="39"/>
      <c r="E6" s="39"/>
      <c r="F6" s="39"/>
      <c r="I6" s="272"/>
      <c r="J6" s="1"/>
      <c r="K6" s="146" t="str">
        <f>IF(Owner=3,"Servicer Name","")</f>
        <v>Servicer Name</v>
      </c>
      <c r="L6" s="1"/>
      <c r="M6" s="1"/>
      <c r="N6" s="278" t="s">
        <v>86</v>
      </c>
      <c r="O6" s="26"/>
      <c r="P6" s="190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 customHeight="1">
      <c r="A7" s="368" t="s">
        <v>30</v>
      </c>
      <c r="B7" s="366"/>
      <c r="C7" s="366"/>
      <c r="D7" s="366"/>
      <c r="E7" s="366"/>
      <c r="F7" s="366"/>
      <c r="I7" s="272"/>
      <c r="J7" s="376" t="s">
        <v>49</v>
      </c>
      <c r="K7" s="376"/>
      <c r="L7" s="376"/>
      <c r="M7" s="376"/>
      <c r="N7" s="376"/>
      <c r="O7" s="376"/>
      <c r="P7" s="377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 customHeight="1">
      <c r="A8" s="12"/>
      <c r="I8" s="272"/>
      <c r="J8" s="1"/>
      <c r="K8" s="34" t="s">
        <v>40</v>
      </c>
      <c r="L8" s="1"/>
      <c r="M8" s="1"/>
      <c r="N8" s="68">
        <v>400000</v>
      </c>
      <c r="O8" s="26"/>
      <c r="P8" s="190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 customHeight="1">
      <c r="A9" s="12"/>
      <c r="B9" s="176" t="s">
        <v>41</v>
      </c>
      <c r="C9" s="1"/>
      <c r="D9" s="1"/>
      <c r="E9" s="1"/>
      <c r="F9" s="95">
        <v>350000</v>
      </c>
      <c r="G9" s="1"/>
      <c r="I9" s="272"/>
      <c r="J9" s="1"/>
      <c r="K9" s="140" t="s">
        <v>78</v>
      </c>
      <c r="L9" s="1"/>
      <c r="M9" s="1"/>
      <c r="N9" s="53">
        <v>360</v>
      </c>
      <c r="O9" s="26"/>
      <c r="P9" s="190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 customHeight="1">
      <c r="A10" s="12"/>
      <c r="B10" s="2" t="s">
        <v>38</v>
      </c>
      <c r="C10" s="1"/>
      <c r="D10" s="1"/>
      <c r="E10" s="1"/>
      <c r="F10" s="135" t="s">
        <v>39</v>
      </c>
      <c r="G10" s="1"/>
      <c r="I10" s="272"/>
      <c r="J10" s="1"/>
      <c r="K10" s="140" t="s">
        <v>81</v>
      </c>
      <c r="L10" s="1"/>
      <c r="M10" s="1"/>
      <c r="N10" s="36">
        <v>0.06</v>
      </c>
      <c r="O10" s="26"/>
      <c r="P10" s="190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 customHeight="1">
      <c r="A11" s="12"/>
      <c r="I11" s="272"/>
      <c r="J11" s="1"/>
      <c r="K11" s="146" t="s">
        <v>104</v>
      </c>
      <c r="L11" s="1"/>
      <c r="M11" s="1"/>
      <c r="N11" s="277" t="s">
        <v>105</v>
      </c>
      <c r="O11" s="26"/>
      <c r="P11" s="190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 customHeight="1">
      <c r="A12" s="12"/>
      <c r="B12" s="29" t="s">
        <v>42</v>
      </c>
      <c r="F12" s="61"/>
      <c r="H12" s="1"/>
      <c r="I12" s="272"/>
      <c r="J12" s="1"/>
      <c r="K12" s="140" t="s">
        <v>51</v>
      </c>
      <c r="L12" s="1"/>
      <c r="M12" s="1"/>
      <c r="N12" s="32">
        <v>39448</v>
      </c>
      <c r="O12" s="26"/>
      <c r="P12" s="190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.75" customHeight="1">
      <c r="A13" s="12"/>
      <c r="B13" s="205" t="s">
        <v>61</v>
      </c>
      <c r="C13" s="204"/>
      <c r="D13" s="204"/>
      <c r="E13" s="204"/>
      <c r="F13" s="210" t="s">
        <v>194</v>
      </c>
      <c r="H13" s="1"/>
      <c r="I13" s="272"/>
      <c r="J13" s="1"/>
      <c r="K13" s="291" t="s">
        <v>106</v>
      </c>
      <c r="L13" s="291"/>
      <c r="M13" s="291"/>
      <c r="N13" s="293">
        <v>0</v>
      </c>
      <c r="O13" s="5"/>
      <c r="P13" s="190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 customHeight="1">
      <c r="A14" s="12"/>
      <c r="B14" s="205" t="str">
        <f>IF($F$13="YTD","Enter Date of YTD","")</f>
        <v/>
      </c>
      <c r="C14" s="204"/>
      <c r="D14" s="204"/>
      <c r="E14" s="204"/>
      <c r="F14" s="211">
        <v>41258</v>
      </c>
      <c r="H14" s="1"/>
      <c r="I14" s="272"/>
      <c r="J14" s="1"/>
      <c r="K14" s="292" t="s">
        <v>107</v>
      </c>
      <c r="L14" s="292"/>
      <c r="M14" s="292"/>
      <c r="N14" s="293">
        <v>0</v>
      </c>
      <c r="O14" s="5"/>
      <c r="P14" s="19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 customHeight="1">
      <c r="A15" s="12"/>
      <c r="B15" s="204" t="s">
        <v>31</v>
      </c>
      <c r="C15" s="204"/>
      <c r="D15" s="204"/>
      <c r="E15" s="204"/>
      <c r="F15" s="207">
        <v>1918</v>
      </c>
      <c r="H15" s="1"/>
      <c r="I15" s="272"/>
      <c r="J15" s="1"/>
      <c r="K15" s="291" t="str">
        <f>IF(N11="Fixed Rate","","Monthly P&amp;I Payment")</f>
        <v/>
      </c>
      <c r="L15" s="291"/>
      <c r="M15" s="291"/>
      <c r="N15" s="294">
        <v>2660</v>
      </c>
      <c r="O15" s="5"/>
      <c r="P15" s="190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.75" customHeight="1">
      <c r="A16" s="12"/>
      <c r="B16" s="205" t="s">
        <v>62</v>
      </c>
      <c r="C16" s="204"/>
      <c r="D16" s="204"/>
      <c r="E16" s="204"/>
      <c r="F16" s="212">
        <f>IF(F13="weekly",F15*52/12,IF(F13="biweekly",F15*26/12,IF(F13="bimonthly",F15*2,IF(F13="annual",F15/12,IF(F13="ytd",F15/DAYS360(DATE(YEAR(F14),1,1),F14)*30,IF(F13="monthly",F15,0))))))</f>
        <v>4155.666666666667</v>
      </c>
      <c r="G16" s="1"/>
      <c r="H16" s="1"/>
      <c r="I16" s="272"/>
      <c r="J16" s="1"/>
      <c r="K16" s="140" t="s">
        <v>65</v>
      </c>
      <c r="N16" s="60">
        <v>300</v>
      </c>
      <c r="O16" s="1"/>
      <c r="P16" s="190"/>
      <c r="Q16" s="181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2.75" customHeight="1">
      <c r="A17" s="12"/>
      <c r="B17" s="203" t="s">
        <v>63</v>
      </c>
      <c r="C17" s="1"/>
      <c r="D17" s="1"/>
      <c r="E17" s="1"/>
      <c r="F17" s="206">
        <v>0</v>
      </c>
      <c r="G17" s="1"/>
      <c r="H17" s="1"/>
      <c r="I17" s="272"/>
      <c r="J17" s="1"/>
      <c r="K17" s="140" t="s">
        <v>66</v>
      </c>
      <c r="N17" s="60">
        <v>120</v>
      </c>
      <c r="O17" s="5"/>
      <c r="P17" s="190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2.75" customHeight="1">
      <c r="A18" s="12"/>
      <c r="B18" s="146" t="s">
        <v>64</v>
      </c>
      <c r="C18" s="2"/>
      <c r="D18" s="2"/>
      <c r="E18" s="2"/>
      <c r="F18" s="206">
        <v>0</v>
      </c>
      <c r="G18" s="1"/>
      <c r="H18" s="1"/>
      <c r="I18" s="272"/>
      <c r="J18" s="1"/>
      <c r="K18" s="140" t="s">
        <v>67</v>
      </c>
      <c r="N18" s="206">
        <v>0</v>
      </c>
      <c r="O18" s="5"/>
      <c r="P18" s="190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2.75" customHeight="1">
      <c r="A19" s="12"/>
      <c r="B19" s="203" t="s">
        <v>72</v>
      </c>
      <c r="F19" s="206">
        <v>900</v>
      </c>
      <c r="I19" s="272"/>
      <c r="J19" s="1"/>
      <c r="K19" s="376" t="s">
        <v>111</v>
      </c>
      <c r="L19" s="376"/>
      <c r="M19" s="376"/>
      <c r="N19" s="376"/>
      <c r="O19" s="17"/>
      <c r="P19" s="19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2.75" customHeight="1">
      <c r="A20" s="12"/>
      <c r="F20" s="59">
        <f>F19*1.25</f>
        <v>1125</v>
      </c>
      <c r="G20" s="34" t="s">
        <v>37</v>
      </c>
      <c r="H20" s="1"/>
      <c r="I20" s="272"/>
      <c r="J20" s="1"/>
      <c r="K20" s="140" t="s">
        <v>68</v>
      </c>
      <c r="N20" s="94" t="s">
        <v>195</v>
      </c>
      <c r="O20" s="17"/>
      <c r="P20" s="190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.75" customHeight="1">
      <c r="A21" s="12"/>
      <c r="B21" s="1" t="s">
        <v>32</v>
      </c>
      <c r="C21" s="1"/>
      <c r="D21" s="1"/>
      <c r="E21" s="1"/>
      <c r="F21" s="62"/>
      <c r="G21" s="1"/>
      <c r="H21" s="1"/>
      <c r="I21" s="272"/>
      <c r="J21" s="1"/>
      <c r="K21" s="280" t="str">
        <f>IF(infotype=1,IF(N11="Other","Cannot Calculate Using Default Date Only","Estimate Arrears and UPB at Default:"),IF(N14&gt;0,"Enter Interest Bearing UPB at Default:","Enter UPB at Default:"))</f>
        <v>Estimate Arrears and UPB at Default:</v>
      </c>
      <c r="N21" s="95">
        <f>296894.89</f>
        <v>296894.89</v>
      </c>
      <c r="O21" s="17"/>
      <c r="P21" s="190"/>
      <c r="Q21" s="180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.75" customHeight="1">
      <c r="A22" s="12"/>
      <c r="B22" s="1"/>
      <c r="C22" s="16" t="s">
        <v>47</v>
      </c>
      <c r="D22" s="16"/>
      <c r="E22" s="1"/>
      <c r="F22" s="147">
        <v>0</v>
      </c>
      <c r="H22" s="1"/>
      <c r="I22" s="272"/>
      <c r="J22" s="1"/>
      <c r="K22" s="280" t="str">
        <f>IF(infotype=2,"Estimate Arrears:",IF(infotype=3,"Enter Amount of Arrears:",""))</f>
        <v/>
      </c>
      <c r="N22" s="95">
        <v>100000</v>
      </c>
      <c r="O22" s="17"/>
      <c r="P22" s="190"/>
      <c r="Q22" s="180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.75" customHeight="1">
      <c r="A23" s="12"/>
      <c r="B23" s="1"/>
      <c r="C23" s="1"/>
      <c r="D23" s="1"/>
      <c r="E23" s="1"/>
      <c r="F23" s="59">
        <f>F22*0.75</f>
        <v>0</v>
      </c>
      <c r="G23" s="16" t="s">
        <v>44</v>
      </c>
      <c r="H23" s="1"/>
      <c r="I23" s="272"/>
      <c r="J23" s="1"/>
      <c r="K23" s="34" t="str">
        <f>IF(infotype=3,"","Default Date")</f>
        <v>Default Date</v>
      </c>
      <c r="L23" s="1"/>
      <c r="M23" s="1"/>
      <c r="N23" s="32">
        <v>41244</v>
      </c>
      <c r="O23" s="17"/>
      <c r="P23" s="190"/>
      <c r="Q23" s="181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2.75" customHeight="1">
      <c r="A24" s="12"/>
      <c r="B24" s="1"/>
      <c r="C24" s="52" t="s">
        <v>48</v>
      </c>
      <c r="D24" s="52"/>
      <c r="E24" s="1"/>
      <c r="F24" s="60">
        <v>0</v>
      </c>
      <c r="H24" s="1"/>
      <c r="I24" s="272"/>
      <c r="J24" s="1"/>
      <c r="K24" s="34" t="str">
        <f>IF(infotype=3,"","Today's Date")</f>
        <v>Today's Date</v>
      </c>
      <c r="L24" s="1"/>
      <c r="M24" s="1"/>
      <c r="N24" s="185">
        <f ca="1">TODAY()</f>
        <v>42349</v>
      </c>
      <c r="O24" s="5"/>
      <c r="P24" s="190"/>
      <c r="Q24" s="180"/>
      <c r="R24" s="180"/>
      <c r="S24" s="3"/>
      <c r="T24" s="3"/>
      <c r="U24" s="3"/>
      <c r="V24" s="3"/>
      <c r="W24" s="3"/>
      <c r="X24" s="3"/>
      <c r="Y24" s="3"/>
      <c r="Z24" s="3"/>
      <c r="AA24" s="3"/>
    </row>
    <row r="25" spans="1:27" ht="12.75" customHeight="1">
      <c r="A25" s="12"/>
      <c r="B25" s="1"/>
      <c r="C25" s="1"/>
      <c r="D25" s="1"/>
      <c r="E25" s="1"/>
      <c r="F25" s="59">
        <f>F24*0.75</f>
        <v>0</v>
      </c>
      <c r="G25" s="16" t="s">
        <v>44</v>
      </c>
      <c r="H25" s="1"/>
      <c r="I25" s="272"/>
      <c r="J25" s="1"/>
      <c r="K25" s="52" t="str">
        <f>IF(infotype=3,"","Total Months in Default")</f>
        <v>Total Months in Default</v>
      </c>
      <c r="L25" s="5"/>
      <c r="M25" s="5"/>
      <c r="N25" s="33">
        <f ca="1">ROUNDUP((DAYS360(N23,N24))/30,0)</f>
        <v>37</v>
      </c>
      <c r="O25" s="5"/>
      <c r="P25" s="190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2.75" customHeight="1">
      <c r="A26" s="12"/>
      <c r="B26" s="1"/>
      <c r="E26" s="145" t="str">
        <f>IF(Rental="Yes","","PITIA on Rental")</f>
        <v>PITIA on Rental</v>
      </c>
      <c r="F26" s="60">
        <v>0</v>
      </c>
      <c r="G26" s="1"/>
      <c r="H26" s="1"/>
      <c r="I26" s="272"/>
      <c r="J26" s="1"/>
      <c r="K26" s="52" t="str">
        <f>IF(infotype=3,"",IF(infotype=2,IF(N14&gt;0,"Interest Bearing UPB at Default","UPB at Default"),IF(infotype=1,"Est UPB at Default",0)))</f>
        <v>Est UPB at Default</v>
      </c>
      <c r="L26" s="5"/>
      <c r="M26" s="5"/>
      <c r="N26" s="58">
        <f>IF(infotype=1,-PV(N10/12,N9-ROUNDUP((N23-N12)/30,0),'HAMP Tier 1'!E11)+N13,N21)</f>
        <v>372217.42729127745</v>
      </c>
      <c r="O26" s="5"/>
      <c r="P26" s="190">
        <v>0</v>
      </c>
      <c r="Q26" s="181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2.75" customHeight="1">
      <c r="A27" s="12"/>
      <c r="B27" s="1"/>
      <c r="C27" s="1" t="str">
        <f>IF(Rental="Yes","Reduced by Tier 2 PITIA","")</f>
        <v/>
      </c>
      <c r="D27" s="1"/>
      <c r="E27" s="1"/>
      <c r="F27" s="59">
        <f>IF(Rental="No",F25-F26,F25-T2PITIA)</f>
        <v>0</v>
      </c>
      <c r="G27" s="146" t="str">
        <f>IF(Rental="No","Reduced by PITIA","")</f>
        <v>Reduced by PITIA</v>
      </c>
      <c r="H27" s="1"/>
      <c r="I27" s="273"/>
      <c r="J27" s="1"/>
      <c r="K27" s="52" t="str">
        <f>IF(infotype=3,"","Taxes in Arrears")</f>
        <v>Taxes in Arrears</v>
      </c>
      <c r="N27" s="58">
        <f ca="1">N16*N25</f>
        <v>11100</v>
      </c>
      <c r="O27" s="5"/>
      <c r="P27" s="190"/>
      <c r="Q27" s="182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2.75" customHeight="1">
      <c r="A28" s="12"/>
      <c r="B28" s="1"/>
      <c r="C28" s="1"/>
      <c r="D28" s="1"/>
      <c r="E28" s="1"/>
      <c r="F28" s="62"/>
      <c r="H28" s="14"/>
      <c r="I28" s="272"/>
      <c r="J28" s="1"/>
      <c r="K28" s="52" t="str">
        <f>IF(infotype=3,"","Insurance Arrears")</f>
        <v>Insurance Arrears</v>
      </c>
      <c r="N28" s="58">
        <f ca="1">N17*N25</f>
        <v>4440</v>
      </c>
      <c r="O28" s="5"/>
      <c r="P28" s="190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2.75" customHeight="1">
      <c r="A29" s="12"/>
      <c r="B29" s="1" t="s">
        <v>33</v>
      </c>
      <c r="C29" s="1"/>
      <c r="D29" s="1"/>
      <c r="E29" s="1"/>
      <c r="F29" s="59">
        <f>F23+F18+F16+F17+F20+(IF(AND(Rental="YES",(F27&lt;0)),0,F27))</f>
        <v>5280.666666666667</v>
      </c>
      <c r="G29" s="1"/>
      <c r="H29" s="1"/>
      <c r="I29" s="272"/>
      <c r="J29" s="1"/>
      <c r="K29" s="34" t="str">
        <f>IF(infotype=3,"","Association Fee Arrears")</f>
        <v>Association Fee Arrears</v>
      </c>
      <c r="N29" s="58">
        <f ca="1">N18*N25</f>
        <v>0</v>
      </c>
      <c r="O29" s="5"/>
      <c r="P29" s="190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2.75" customHeight="1">
      <c r="A30" s="12"/>
      <c r="F30" s="61"/>
      <c r="H30" s="1"/>
      <c r="I30" s="272"/>
      <c r="J30" s="1"/>
      <c r="K30" s="52" t="str">
        <f>IF(infotype=3,"","Interest Arrears")</f>
        <v>Interest Arrears</v>
      </c>
      <c r="M30" s="183"/>
      <c r="N30" s="58">
        <f ca="1">N25*ROUND(N10/12*N26,2)+(DAY(N24)-DAY(N23))*ROUND(N10/365*N26,4)</f>
        <v>69472.194000000003</v>
      </c>
      <c r="O30" s="5"/>
      <c r="P30" s="19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2.75" customHeight="1" thickBot="1">
      <c r="A31" s="12"/>
      <c r="B31" s="2" t="s">
        <v>34</v>
      </c>
      <c r="C31" s="2"/>
      <c r="D31" s="2"/>
      <c r="E31" s="2"/>
      <c r="F31" s="63"/>
      <c r="G31" s="15"/>
      <c r="H31" s="1"/>
      <c r="I31" s="272"/>
      <c r="J31" s="1"/>
      <c r="K31" s="5" t="str">
        <f>IF(infotype=3,"","Allowable Fees &amp; Costs")</f>
        <v>Allowable Fees &amp; Costs</v>
      </c>
      <c r="L31" s="5"/>
      <c r="M31" s="5"/>
      <c r="N31" s="37">
        <v>1500</v>
      </c>
      <c r="O31" s="5"/>
      <c r="P31" s="190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2.75" customHeight="1" thickBot="1">
      <c r="A32" s="12"/>
      <c r="B32" s="205" t="s">
        <v>61</v>
      </c>
      <c r="C32" s="204"/>
      <c r="D32" s="204"/>
      <c r="E32" s="204"/>
      <c r="F32" s="210"/>
      <c r="H32" s="1"/>
      <c r="I32" s="272"/>
      <c r="J32" s="1"/>
      <c r="K32" s="17" t="str">
        <f>IF(infotype=3,"",IF(N14&gt;0,"Total Eligible Arrears and Forbearance","Total Eligible Arrears"))</f>
        <v>Total Eligible Arrears</v>
      </c>
      <c r="L32" s="5"/>
      <c r="M32" s="5"/>
      <c r="N32" s="73">
        <f ca="1">IF(infotype=3,N22,SUM(N27:N31)+N14)</f>
        <v>86512.194000000003</v>
      </c>
      <c r="O32" s="5"/>
      <c r="P32" s="19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2.75" customHeight="1">
      <c r="A33" s="12"/>
      <c r="B33" s="205" t="str">
        <f>IF($F$32="YTD","Enter Date of YTD","")</f>
        <v/>
      </c>
      <c r="C33" s="204"/>
      <c r="D33" s="204"/>
      <c r="E33" s="204"/>
      <c r="F33" s="211">
        <v>41197</v>
      </c>
      <c r="H33" s="1"/>
      <c r="I33" s="272"/>
      <c r="J33" s="1"/>
      <c r="K33" s="28"/>
      <c r="L33" s="5"/>
      <c r="M33" s="5"/>
      <c r="N33" s="5"/>
      <c r="O33" s="5"/>
      <c r="P33" s="190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 customHeight="1">
      <c r="A34" s="12"/>
      <c r="B34" s="204" t="s">
        <v>31</v>
      </c>
      <c r="C34" s="204"/>
      <c r="D34" s="204"/>
      <c r="E34" s="204"/>
      <c r="F34" s="207">
        <v>0</v>
      </c>
      <c r="H34" s="1"/>
      <c r="I34" s="272"/>
      <c r="J34" s="1"/>
      <c r="K34" s="376" t="str">
        <f>IF(Owner&lt;3,"Market Interest Rates","Market Interest Rate")</f>
        <v>Market Interest Rate</v>
      </c>
      <c r="L34" s="376"/>
      <c r="M34" s="376"/>
      <c r="N34" s="376"/>
      <c r="O34" s="5"/>
      <c r="P34" s="190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.75" customHeight="1">
      <c r="A35" s="12"/>
      <c r="B35" s="205" t="s">
        <v>62</v>
      </c>
      <c r="C35" s="204"/>
      <c r="D35" s="204"/>
      <c r="E35" s="204"/>
      <c r="F35" s="212">
        <f>IF(F32="weekly",F34*52/12,IF(F32="biweekly",F34*26/12,IF(F32="bimonthly",F34*2,IF(F32="annual",F34/12,IF(F32="ytd",F34/DAYS360(DATE(YEAR(F33),1,1),F33)*30,IF(F32="monthly",F34,0))))))</f>
        <v>0</v>
      </c>
      <c r="G35" s="1"/>
      <c r="H35" s="1"/>
      <c r="I35" s="272"/>
      <c r="J35" s="1"/>
      <c r="K35" s="375" t="str">
        <f>IF(Owner=3,"",IF(Owner=1,HYPERLINK("https://www.fanniemae.com/content/guide_exhibit/fannie-mae-standard-modification-interest-rate.pdf","Fannie Mae Mod Rate"),IF(Owner=2,HYPERLINK("http://www.freddiemac.com/singlefamily/service/standardmodrate.html","Freddie Standard Mod Rate"),0)))</f>
        <v/>
      </c>
      <c r="L35" s="375"/>
      <c r="M35" s="375"/>
      <c r="N35" s="289">
        <v>0.04</v>
      </c>
      <c r="O35" s="5"/>
      <c r="P35" s="19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12"/>
      <c r="B36" s="146" t="s">
        <v>64</v>
      </c>
      <c r="C36" s="2"/>
      <c r="D36" s="2"/>
      <c r="E36" s="2"/>
      <c r="F36" s="206">
        <v>0</v>
      </c>
      <c r="G36" s="1"/>
      <c r="H36" s="1"/>
      <c r="I36" s="272"/>
      <c r="J36" s="1"/>
      <c r="K36" s="372" t="str">
        <f>HYPERLINK("http://www.freddiemac.com/pmms/","FDMC PMMS 30 YR FRM")</f>
        <v>FDMC PMMS 30 YR FRM</v>
      </c>
      <c r="L36" s="373"/>
      <c r="M36" s="374"/>
      <c r="N36" s="266">
        <v>3.95E-2</v>
      </c>
      <c r="O36" s="5"/>
      <c r="P36" s="190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 customHeight="1">
      <c r="A37" s="12"/>
      <c r="B37" s="203" t="s">
        <v>72</v>
      </c>
      <c r="F37" s="206">
        <v>0</v>
      </c>
      <c r="I37" s="272"/>
      <c r="J37" s="1"/>
      <c r="K37" s="16" t="str">
        <f>IF(Owner=3,"Subtract adjustment","")</f>
        <v>Subtract adjustment</v>
      </c>
      <c r="L37" s="2"/>
      <c r="M37" s="2"/>
      <c r="N37" s="222">
        <v>-5.0000000000000001E-3</v>
      </c>
      <c r="O37" s="5"/>
      <c r="P37" s="190"/>
      <c r="Q37" s="3"/>
      <c r="R37" s="180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 customHeight="1">
      <c r="A38" s="12"/>
      <c r="F38" s="208">
        <f>F37*1.25</f>
        <v>0</v>
      </c>
      <c r="G38" s="34" t="s">
        <v>37</v>
      </c>
      <c r="H38" s="1"/>
      <c r="I38" s="272"/>
      <c r="J38" s="1"/>
      <c r="K38" s="2" t="str">
        <f>IF(Owner=3,"Market Rate (rounded up to nearest 1/8)","")</f>
        <v>Market Rate (rounded up to nearest 1/8)</v>
      </c>
      <c r="L38" s="1"/>
      <c r="M38" s="1"/>
      <c r="N38" s="188">
        <f>IF(Owner=3,ROUNDUP((N36+N37)*800,0)/800,N35)</f>
        <v>3.5000000000000003E-2</v>
      </c>
      <c r="O38" s="5"/>
      <c r="P38" s="190"/>
      <c r="Q38" s="3"/>
      <c r="R38" s="180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 customHeight="1">
      <c r="A39" s="12"/>
      <c r="F39" s="209"/>
      <c r="G39" s="34"/>
      <c r="H39" s="1"/>
      <c r="I39" s="274"/>
      <c r="J39" s="1"/>
      <c r="O39" s="5"/>
      <c r="P39" s="19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 customHeight="1">
      <c r="A40" s="12"/>
      <c r="B40" s="1" t="s">
        <v>33</v>
      </c>
      <c r="C40" s="1"/>
      <c r="D40" s="1"/>
      <c r="E40" s="1"/>
      <c r="F40" s="202">
        <f>SUM(F35,F36,F38)</f>
        <v>0</v>
      </c>
      <c r="G40" s="1"/>
      <c r="H40" s="1"/>
      <c r="I40" s="272"/>
      <c r="J40" s="1"/>
      <c r="K40" s="365" t="str">
        <f>IF(Rental="Yes","Debt for DTI","")</f>
        <v/>
      </c>
      <c r="L40" s="365"/>
      <c r="M40" s="365"/>
      <c r="N40" s="365"/>
      <c r="O40" s="5"/>
      <c r="P40" s="190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 thickBot="1">
      <c r="A41" s="12"/>
      <c r="B41" s="1"/>
      <c r="C41" s="1"/>
      <c r="D41" s="1"/>
      <c r="E41" s="1"/>
      <c r="F41" s="64"/>
      <c r="G41" s="1"/>
      <c r="H41" s="1"/>
      <c r="I41" s="272"/>
      <c r="J41" s="1"/>
      <c r="K41" t="str">
        <f>IF(F10="Yes","Primary Residence PITIA","")</f>
        <v/>
      </c>
      <c r="L41" s="1"/>
      <c r="M41" s="1"/>
      <c r="N41" s="60">
        <v>1000</v>
      </c>
      <c r="O41" s="5"/>
      <c r="P41" s="19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 thickTop="1" thickBot="1">
      <c r="A42" s="12"/>
      <c r="B42" s="2" t="s">
        <v>2</v>
      </c>
      <c r="C42" s="1"/>
      <c r="D42" s="1"/>
      <c r="E42" s="30"/>
      <c r="F42" s="279">
        <f>F29+F40</f>
        <v>5280.666666666667</v>
      </c>
      <c r="G42" s="31"/>
      <c r="H42" s="1"/>
      <c r="I42" s="272"/>
      <c r="J42" s="1"/>
      <c r="K42" s="34" t="str">
        <f>IF(F10="Yes","Loss on Subject Property","")</f>
        <v/>
      </c>
      <c r="L42" s="1"/>
      <c r="M42" s="1"/>
      <c r="N42" s="59" t="b">
        <f>IF(F10="Yes",IF(F27&lt;0,F27*-1,0))</f>
        <v>0</v>
      </c>
      <c r="O42" s="5"/>
      <c r="P42" s="190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 customHeight="1" thickTop="1">
      <c r="A43" s="12"/>
      <c r="B43" s="2"/>
      <c r="C43" s="1"/>
      <c r="D43" s="1"/>
      <c r="E43" s="1"/>
      <c r="F43" s="282"/>
      <c r="G43" s="19"/>
      <c r="H43" s="1"/>
      <c r="I43" s="272"/>
      <c r="J43" s="1"/>
      <c r="K43" s="29" t="str">
        <f>IF(F10="Yes","Total","")</f>
        <v/>
      </c>
      <c r="L43" s="1"/>
      <c r="M43" s="1"/>
      <c r="N43" s="208" t="b">
        <f>IF(F10="Yes",N42+N41)</f>
        <v>0</v>
      </c>
      <c r="O43" s="5"/>
      <c r="P43" s="190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 customHeight="1">
      <c r="A44" s="12"/>
      <c r="B44" s="2"/>
      <c r="C44" s="1"/>
      <c r="D44" s="1"/>
      <c r="E44" s="1"/>
      <c r="F44" s="57"/>
      <c r="G44" s="19"/>
      <c r="H44" s="1"/>
      <c r="I44" s="272"/>
      <c r="J44" s="1"/>
      <c r="K44" s="29"/>
      <c r="L44" s="1"/>
      <c r="M44" s="1"/>
      <c r="N44" s="296"/>
      <c r="O44" s="5"/>
      <c r="P44" s="190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226" t="str">
        <f>VLOOKUP(Owner,Current,2)</f>
        <v>Current as of Supplemental Directive 15-08</v>
      </c>
      <c r="B45" s="165"/>
      <c r="C45" s="20"/>
      <c r="D45" s="20"/>
      <c r="E45" s="20"/>
      <c r="F45" s="166"/>
      <c r="G45" s="167"/>
      <c r="H45" s="20"/>
      <c r="I45" s="276"/>
      <c r="J45" s="20"/>
      <c r="K45" s="165"/>
      <c r="L45" s="170"/>
      <c r="M45" s="20"/>
      <c r="N45" s="168"/>
      <c r="O45" s="169" t="s">
        <v>80</v>
      </c>
      <c r="P45" s="191"/>
      <c r="Q45" s="1"/>
    </row>
    <row r="46" spans="1:27">
      <c r="A46" s="1"/>
      <c r="B46" s="1"/>
      <c r="C46" s="1"/>
      <c r="D46" s="1"/>
      <c r="E46" s="1"/>
      <c r="F46" s="1"/>
      <c r="G46" s="1"/>
      <c r="H46" s="1"/>
      <c r="I46" s="5"/>
      <c r="J46" s="1"/>
      <c r="K46" s="1"/>
      <c r="L46" s="1"/>
      <c r="M46" s="1"/>
      <c r="N46" s="1"/>
      <c r="O46" s="1"/>
      <c r="P46" s="1"/>
      <c r="Q46" s="1"/>
    </row>
    <row r="47" spans="1:27">
      <c r="A47" s="1"/>
      <c r="B47" s="1"/>
      <c r="C47" s="1"/>
      <c r="D47" s="1"/>
      <c r="E47" s="1"/>
      <c r="F47" s="1"/>
      <c r="G47" s="1"/>
      <c r="H47" s="1"/>
      <c r="I47" s="5"/>
      <c r="J47" s="1"/>
      <c r="K47" s="1"/>
      <c r="L47" s="1"/>
      <c r="M47" s="1"/>
      <c r="N47" s="1"/>
      <c r="O47" s="1"/>
      <c r="P47" s="1"/>
      <c r="Q47" s="1"/>
    </row>
    <row r="48" spans="1:27">
      <c r="A48" s="1"/>
      <c r="B48" s="1"/>
      <c r="C48" s="1"/>
      <c r="D48" s="1"/>
      <c r="E48" s="1"/>
      <c r="F48" s="1"/>
      <c r="G48" s="1"/>
      <c r="H48" s="1"/>
      <c r="I48" s="5"/>
      <c r="J48" s="1"/>
      <c r="K48" s="1"/>
      <c r="L48" s="1"/>
      <c r="M48" s="1"/>
      <c r="N48" s="1"/>
      <c r="O48" s="1"/>
      <c r="P48" s="1"/>
      <c r="Q48" s="1"/>
    </row>
    <row r="49" spans="2:16">
      <c r="B49" s="1"/>
      <c r="C49" s="1"/>
      <c r="D49" s="1"/>
      <c r="E49" s="1"/>
      <c r="F49" s="1"/>
      <c r="G49" s="1"/>
      <c r="H49" s="5"/>
      <c r="I49" s="5"/>
      <c r="J49" s="5"/>
      <c r="K49" s="1"/>
      <c r="L49" s="1"/>
      <c r="M49" s="1"/>
      <c r="N49" s="1"/>
      <c r="O49" s="1"/>
      <c r="P49" s="1"/>
    </row>
    <row r="50" spans="2:16">
      <c r="H50" s="3"/>
      <c r="I50" s="3"/>
      <c r="J50" s="3"/>
    </row>
    <row r="51" spans="2:16">
      <c r="H51" s="3"/>
      <c r="I51" s="3"/>
      <c r="J51" s="3"/>
    </row>
    <row r="52" spans="2:16">
      <c r="H52" s="3"/>
      <c r="I52" s="3"/>
      <c r="J52" s="3"/>
    </row>
    <row r="53" spans="2:16">
      <c r="H53" s="3"/>
      <c r="I53" s="3"/>
      <c r="J53" s="3"/>
    </row>
  </sheetData>
  <sheetProtection sheet="1" objects="1" scenarios="1"/>
  <customSheetViews>
    <customSheetView guid="{0367687A-2E80-4414-9E57-D64905950517}" showGridLines="0">
      <selection activeCell="F16" sqref="F16"/>
    </customSheetView>
  </customSheetViews>
  <mergeCells count="10">
    <mergeCell ref="K40:N40"/>
    <mergeCell ref="K3:N3"/>
    <mergeCell ref="A7:F7"/>
    <mergeCell ref="A1:P1"/>
    <mergeCell ref="E3:F3"/>
    <mergeCell ref="K36:M36"/>
    <mergeCell ref="K35:M35"/>
    <mergeCell ref="J7:P7"/>
    <mergeCell ref="K19:N19"/>
    <mergeCell ref="K34:N34"/>
  </mergeCells>
  <phoneticPr fontId="2" type="noConversion"/>
  <conditionalFormatting sqref="N21">
    <cfRule type="expression" dxfId="83" priority="114">
      <formula>IF(infotype=1,1,0)</formula>
    </cfRule>
  </conditionalFormatting>
  <conditionalFormatting sqref="N24:N32">
    <cfRule type="expression" dxfId="82" priority="33">
      <formula>IF(infotype=3,1,0)</formula>
    </cfRule>
  </conditionalFormatting>
  <conditionalFormatting sqref="G20:G35 G39">
    <cfRule type="expression" dxfId="81" priority="32">
      <formula>IF(AND(F19=0,F20=0),1,0)</formula>
    </cfRule>
  </conditionalFormatting>
  <conditionalFormatting sqref="F26">
    <cfRule type="expression" dxfId="80" priority="29">
      <formula>IF(Rental="Yes",1,0)</formula>
    </cfRule>
  </conditionalFormatting>
  <conditionalFormatting sqref="N38">
    <cfRule type="expression" dxfId="79" priority="24">
      <formula>IF(Owner=3,1,0)</formula>
    </cfRule>
    <cfRule type="expression" dxfId="78" priority="28">
      <formula>IF(Owner=3,0,1)</formula>
    </cfRule>
  </conditionalFormatting>
  <conditionalFormatting sqref="N37">
    <cfRule type="expression" dxfId="77" priority="31">
      <formula>IF(Owner=3,0,1)</formula>
    </cfRule>
  </conditionalFormatting>
  <conditionalFormatting sqref="N23">
    <cfRule type="expression" dxfId="76" priority="26">
      <formula>IF(infotype=3,1,0)</formula>
    </cfRule>
  </conditionalFormatting>
  <conditionalFormatting sqref="G19 G36:G37">
    <cfRule type="expression" dxfId="75" priority="73">
      <formula>IF(AND(#REF!=0,F19=0),1,0)</formula>
    </cfRule>
  </conditionalFormatting>
  <conditionalFormatting sqref="G38">
    <cfRule type="expression" dxfId="74" priority="21">
      <formula>IF(AND(F37=0,F38=0),1,0)</formula>
    </cfRule>
  </conditionalFormatting>
  <conditionalFormatting sqref="G37">
    <cfRule type="expression" dxfId="73" priority="19">
      <formula>IF(AND(#REF!=0,F37=0),1,0)</formula>
    </cfRule>
  </conditionalFormatting>
  <conditionalFormatting sqref="F14">
    <cfRule type="expression" dxfId="72" priority="18">
      <formula>IF($F$13="YTD",0,1)</formula>
    </cfRule>
  </conditionalFormatting>
  <conditionalFormatting sqref="F33">
    <cfRule type="expression" dxfId="71" priority="17">
      <formula>IF($F$32="YTD",0,1)</formula>
    </cfRule>
  </conditionalFormatting>
  <conditionalFormatting sqref="O39:O43 L41:N43 L44:O44">
    <cfRule type="expression" dxfId="70" priority="84">
      <formula>IF($F$10="NO",1,0)</formula>
    </cfRule>
  </conditionalFormatting>
  <conditionalFormatting sqref="N35">
    <cfRule type="expression" dxfId="69" priority="16">
      <formula>IF(Owner=3,1,0)</formula>
    </cfRule>
  </conditionalFormatting>
  <conditionalFormatting sqref="L20:N33 O19:P45 J19:K45 A1:I45 L41:N45 J1:P6 L37:M39 N35:N39 J8:P18">
    <cfRule type="expression" dxfId="68" priority="48" stopIfTrue="1">
      <formula>IF($O$45="MFY Legal Services Inc.'s Proprietary Waterfall Worksheet",0,1)</formula>
    </cfRule>
  </conditionalFormatting>
  <conditionalFormatting sqref="N6">
    <cfRule type="expression" dxfId="67" priority="5">
      <formula>IF(Owner&lt;3,1,0)</formula>
    </cfRule>
  </conditionalFormatting>
  <conditionalFormatting sqref="K22">
    <cfRule type="expression" dxfId="66" priority="4">
      <formula>IF(infotype=2,1,0)</formula>
    </cfRule>
  </conditionalFormatting>
  <conditionalFormatting sqref="N22">
    <cfRule type="expression" dxfId="65" priority="2">
      <formula>IF(infotype=1,1,0)</formula>
    </cfRule>
    <cfRule type="expression" dxfId="64" priority="3">
      <formula>IF(infotype=2,1,0)</formula>
    </cfRule>
  </conditionalFormatting>
  <conditionalFormatting sqref="K23:N30 N21:N22">
    <cfRule type="expression" dxfId="63" priority="127" stopIfTrue="1">
      <formula>IF(AND(infotype=1,$N$11="Other"),1,0)</formula>
    </cfRule>
  </conditionalFormatting>
  <conditionalFormatting sqref="K21">
    <cfRule type="expression" dxfId="62" priority="142">
      <formula>IF(AND(infotype=1,$N$11="Other"),1,0)</formula>
    </cfRule>
    <cfRule type="expression" dxfId="61" priority="143">
      <formula>IF(infotype=1,1,0)</formula>
    </cfRule>
  </conditionalFormatting>
  <conditionalFormatting sqref="N15">
    <cfRule type="expression" dxfId="60" priority="1">
      <formula>IF(N11="Fixed Rate",1,0)</formula>
    </cfRule>
  </conditionalFormatting>
  <dataValidations count="17">
    <dataValidation allowBlank="1" showInputMessage="1" showErrorMessage="1" promptTitle="Risk Adjustment" prompt="A risk adjustment factor set by Treasury.  As of July 1, 2014, the risk adjustment is 0%." sqref="K37"/>
    <dataValidation type="list" allowBlank="1" showInputMessage="1" showErrorMessage="1" sqref="N20">
      <formula1>"Capitalized UPB, UPB at Default, Only Default Date"</formula1>
    </dataValidation>
    <dataValidation allowBlank="1" showErrorMessage="1" promptTitle="Default Date" prompt="Enter the date of the first missed payment." sqref="K23"/>
    <dataValidation allowBlank="1" showInputMessage="1" showErrorMessage="1" promptTitle="Monthly P&amp;I" prompt="Enter the amount of monthly principal and interest currently due on the loan - not the initial amount or amount that borrower last paid." sqref="N15"/>
    <dataValidation type="list" allowBlank="1" showInputMessage="1" showErrorMessage="1" promptTitle="Rate Type" prompt="Fixed Rate - rate does not change_x000a_Adjustable Rate - rate is tied to a fluctuating index_x000a_Step Rate - rate adjusts, but is not tied to an index (e.g. HAMP mods)" sqref="N11">
      <formula1>"Fixed Rate, Adjustable Rate, Step Rate"</formula1>
    </dataValidation>
    <dataValidation allowBlank="1" showInputMessage="1" showErrorMessage="1" promptTitle="Date of First Payment" prompt="Enter the date on which the first payment was due.  This is different than the origination date." sqref="K12"/>
    <dataValidation allowBlank="1" showInputMessage="1" showErrorMessage="1" promptTitle="Monthly Fixed Income" prompt="Fixed income provided on a monthly basis._x000a__x000a_Examples include SSA, SSD and pension payments." sqref="B36 F36 F18 B18"/>
    <dataValidation allowBlank="1" showInputMessage="1" showErrorMessage="1" promptTitle="Monthly Untaxed Income" prompt="Income that is not subject to federal income tax._x000a__x000a_Examples include SSI, SNAP, VA benefits and adoption assistance payments." sqref="B37 F37 F19 B19"/>
    <dataValidation type="list" allowBlank="1" showInputMessage="1" showErrorMessage="1" sqref="F10">
      <formula1>"Yes, No"</formula1>
    </dataValidation>
    <dataValidation allowBlank="1" showInputMessage="1" showErrorMessage="1" promptTitle="Monthly Contribution" prompt="Money provided on a monthly basis to the mortgage by a non-borrower occupant." sqref="B17 F17"/>
    <dataValidation type="list" allowBlank="1" showInputMessage="1" showErrorMessage="1" sqref="F13 F32">
      <formula1>"Weekly, Biweekly, Bimonthly, Monthly, Annual, YTD"</formula1>
    </dataValidation>
    <dataValidation type="list" allowBlank="1" showInputMessage="1" showErrorMessage="1" sqref="N5">
      <formula1>"FNMA, FDMC, Non-GSE"</formula1>
    </dataValidation>
    <dataValidation type="list" allowBlank="1" showInputMessage="1" showErrorMessage="1" sqref="N6">
      <formula1>Servicer_List</formula1>
    </dataValidation>
    <dataValidation type="date" allowBlank="1" showErrorMessage="1" errorTitle="Improper Date" error="Default Date cell must contain a valid date after the first payment is due, but before today." promptTitle="Default Date" prompt="Enter the date of default" sqref="N23">
      <formula1>N12</formula1>
      <formula2>N24</formula2>
    </dataValidation>
    <dataValidation allowBlank="1" showInputMessage="1" showErrorMessage="1" promptTitle="Balloon Payment" prompt="Enter amount of interest-bearing balloon on the loan.  In an amortizing loan, this is amount is zero." sqref="N13"/>
    <dataValidation allowBlank="1" showInputMessage="1" showErrorMessage="1" promptTitle="Forbearance" prompt="Enter the amount of non-interest-bearing principal forbearance." sqref="N14"/>
    <dataValidation allowBlank="1" showInputMessage="1" showErrorMessage="1" promptTitle="Risk Adjustment" prompt="A risk adjustment factor set by Treasury.  As of January 1, 2015, the risk adjustment is -0.50%." sqref="N37"/>
  </dataValidations>
  <pageMargins left="0.75" right="0.75" top="1" bottom="1" header="0.5" footer="0.5"/>
  <pageSetup scale="82" orientation="landscape" r:id="rId1"/>
  <headerFooter alignWithMargins="0">
    <oddHeader>&amp;L&amp;14&amp;F&amp;10
Run on: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30"/>
    <pageSetUpPr autoPageBreaks="0"/>
  </sheetPr>
  <dimension ref="A1:S54"/>
  <sheetViews>
    <sheetView showGridLines="0" zoomScaleNormal="100" workbookViewId="0">
      <selection activeCell="J11" sqref="J11"/>
    </sheetView>
  </sheetViews>
  <sheetFormatPr defaultRowHeight="12.75"/>
  <cols>
    <col min="1" max="1" width="3" customWidth="1"/>
    <col min="3" max="3" width="8.28515625" customWidth="1"/>
    <col min="4" max="4" width="13" customWidth="1"/>
    <col min="5" max="5" width="15.42578125" customWidth="1"/>
    <col min="7" max="7" width="13.42578125" customWidth="1"/>
    <col min="8" max="8" width="5.28515625" customWidth="1"/>
    <col min="9" max="9" width="5.85546875" customWidth="1"/>
    <col min="10" max="10" width="10.5703125" customWidth="1"/>
    <col min="11" max="11" width="9.7109375" customWidth="1"/>
    <col min="12" max="12" width="10.5703125" customWidth="1"/>
    <col min="13" max="13" width="11.7109375" customWidth="1"/>
    <col min="14" max="14" width="13.7109375" customWidth="1"/>
    <col min="15" max="15" width="7.42578125" customWidth="1"/>
    <col min="16" max="16" width="2.85546875" customWidth="1"/>
    <col min="19" max="19" width="9.7109375" bestFit="1" customWidth="1"/>
  </cols>
  <sheetData>
    <row r="1" spans="1:16" ht="19.5" customHeight="1">
      <c r="A1" s="378" t="s">
        <v>58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</row>
    <row r="2" spans="1:16" ht="18.75">
      <c r="A2" s="12"/>
      <c r="B2" s="25" t="str">
        <f>IF(Inputs!F10="NO","","RENTAL PROPERTIES AREN'T TIER 1 ELIGIBLE")</f>
        <v/>
      </c>
      <c r="C2" s="1"/>
      <c r="D2" s="5"/>
      <c r="E2" s="9"/>
      <c r="F2" s="1"/>
      <c r="G2" s="1"/>
      <c r="H2" s="10"/>
      <c r="I2" s="388" t="str">
        <f ca="1">IF(AND(E38&lt;2%, NOT(PIFAIL)),"EXTEND LOAN TERM","")</f>
        <v>EXTEND LOAN TERM</v>
      </c>
      <c r="J2" s="389"/>
      <c r="K2" s="389"/>
      <c r="L2" s="389"/>
      <c r="M2" s="389"/>
      <c r="N2" s="389"/>
      <c r="O2" s="389"/>
      <c r="P2" s="390"/>
    </row>
    <row r="3" spans="1:16">
      <c r="A3" s="12"/>
      <c r="B3" s="1"/>
      <c r="C3" s="1"/>
      <c r="D3" s="391" t="s">
        <v>70</v>
      </c>
      <c r="E3" s="391"/>
      <c r="F3" s="1"/>
      <c r="G3" s="1"/>
      <c r="H3" s="10"/>
      <c r="I3" s="1"/>
      <c r="J3" s="1"/>
      <c r="K3" s="1"/>
      <c r="L3" s="1"/>
      <c r="M3" s="1"/>
      <c r="N3" s="1"/>
      <c r="O3" s="1"/>
      <c r="P3" s="186"/>
    </row>
    <row r="4" spans="1:16" ht="14.25">
      <c r="A4" s="12"/>
      <c r="B4" s="1"/>
      <c r="C4" s="1"/>
      <c r="D4" s="213" t="s">
        <v>8</v>
      </c>
      <c r="E4" s="214" t="s">
        <v>26</v>
      </c>
      <c r="F4" s="1"/>
      <c r="G4" s="1"/>
      <c r="H4" s="10"/>
      <c r="I4" s="1"/>
      <c r="J4" s="2" t="str">
        <f ca="1">IF(AND(E38&lt;2%,NOT(PIFAIL)),"Increase Term Up To 480 months to Reach Target PI Payment","")</f>
        <v>Increase Term Up To 480 months to Reach Target PI Payment</v>
      </c>
      <c r="K4" s="1"/>
      <c r="L4" s="1"/>
      <c r="M4" s="1"/>
      <c r="N4" s="1"/>
      <c r="O4" s="26"/>
      <c r="P4" s="187"/>
    </row>
    <row r="5" spans="1:16" ht="14.25">
      <c r="A5" s="12"/>
      <c r="B5" s="1"/>
      <c r="C5" s="1"/>
      <c r="D5" s="215" t="s">
        <v>27</v>
      </c>
      <c r="E5" s="216" t="s">
        <v>69</v>
      </c>
      <c r="F5" s="1"/>
      <c r="G5" s="1"/>
      <c r="H5" s="10"/>
      <c r="I5" s="1"/>
      <c r="J5" s="2"/>
      <c r="K5" s="1"/>
      <c r="L5" s="1"/>
      <c r="M5" s="1"/>
      <c r="N5" s="1"/>
      <c r="O5" s="26"/>
      <c r="P5" s="187"/>
    </row>
    <row r="6" spans="1:16" ht="14.25">
      <c r="A6" s="12"/>
      <c r="B6" s="1"/>
      <c r="C6" s="1"/>
      <c r="D6" s="1"/>
      <c r="E6" s="24"/>
      <c r="F6" s="1"/>
      <c r="G6" s="1"/>
      <c r="H6" s="10"/>
      <c r="I6" s="1"/>
      <c r="J6" s="1"/>
      <c r="K6" s="1"/>
      <c r="L6" s="1"/>
      <c r="M6" s="1"/>
      <c r="N6" s="1"/>
      <c r="O6" s="26"/>
      <c r="P6" s="187"/>
    </row>
    <row r="7" spans="1:16" ht="14.25">
      <c r="A7" s="12"/>
      <c r="B7" s="2" t="s">
        <v>2</v>
      </c>
      <c r="C7" s="2"/>
      <c r="D7" s="2"/>
      <c r="E7" s="54">
        <f>GMI</f>
        <v>5280.666666666667</v>
      </c>
      <c r="F7" s="1"/>
      <c r="G7" s="1"/>
      <c r="H7" s="10"/>
      <c r="I7" s="1"/>
      <c r="J7" s="1" t="str">
        <f ca="1">IF(AND(E38&lt;2%,NOT(PIFAIL)),"Rate"," ")</f>
        <v>Rate</v>
      </c>
      <c r="K7" s="1"/>
      <c r="L7" s="1"/>
      <c r="M7" s="1"/>
      <c r="N7" s="48" t="str">
        <f ca="1">IF(AND(E38&lt;2%,NOT(PIFAIL)),"2.00%"," ")</f>
        <v>2.00%</v>
      </c>
      <c r="O7" s="1"/>
      <c r="P7" s="187"/>
    </row>
    <row r="8" spans="1:16" ht="14.25">
      <c r="A8" s="12"/>
      <c r="B8" s="1"/>
      <c r="C8" s="1"/>
      <c r="D8" s="1"/>
      <c r="E8" s="55"/>
      <c r="F8" s="1"/>
      <c r="G8" s="1"/>
      <c r="H8" s="10"/>
      <c r="I8" s="1"/>
      <c r="J8" s="1" t="str">
        <f ca="1">IF(AND(E38&lt;2%,NOT(PIFAIL)),"Current Term"," ")</f>
        <v>Current Term</v>
      </c>
      <c r="K8" s="1"/>
      <c r="L8" s="1"/>
      <c r="M8" s="1"/>
      <c r="N8" s="6">
        <f ca="1">IF(AND(E38&lt;2%,NOT(PIFAIL)),E18," ")</f>
        <v>264</v>
      </c>
      <c r="O8" s="1"/>
      <c r="P8" s="187"/>
    </row>
    <row r="9" spans="1:16" ht="14.25">
      <c r="A9" s="12"/>
      <c r="B9" s="22" t="s">
        <v>24</v>
      </c>
      <c r="C9" s="1"/>
      <c r="D9" s="1"/>
      <c r="E9" s="55"/>
      <c r="F9" s="1"/>
      <c r="G9" s="1"/>
      <c r="H9" s="10"/>
      <c r="I9" s="1"/>
      <c r="J9" s="1" t="str">
        <f ca="1">IF(AND(E38&lt;2%,NOT(PIFAIL)),"Target P&amp;I Payment"," ")</f>
        <v>Target P&amp;I Payment</v>
      </c>
      <c r="K9" s="1"/>
      <c r="L9" s="1"/>
      <c r="M9" s="1"/>
      <c r="N9" s="67">
        <f ca="1">IF(AND(E38&lt;2%,NOT(PIFAIL)),E32," ")</f>
        <v>1217.0066666666667</v>
      </c>
      <c r="O9" s="1"/>
      <c r="P9" s="187"/>
    </row>
    <row r="10" spans="1:16">
      <c r="A10" s="12"/>
      <c r="B10" s="1"/>
      <c r="C10" s="1"/>
      <c r="D10" s="1"/>
      <c r="E10" s="55"/>
      <c r="F10" s="1"/>
      <c r="G10" s="1"/>
      <c r="H10" s="10"/>
      <c r="I10" s="1"/>
      <c r="J10" s="1" t="str">
        <f ca="1">IF(AND(E38&lt;2%,NOT(PIFAIL)),"UPB"," ")</f>
        <v>UPB</v>
      </c>
      <c r="K10" s="1"/>
      <c r="L10" s="1"/>
      <c r="M10" s="1"/>
      <c r="N10" s="67">
        <f ca="1">IF(AND(E38&lt;2%,NOT(PIFAIL)),E24," ")</f>
        <v>458729.62129127746</v>
      </c>
      <c r="O10" s="1"/>
      <c r="P10" s="186"/>
    </row>
    <row r="11" spans="1:16">
      <c r="A11" s="12"/>
      <c r="B11" s="16" t="s">
        <v>46</v>
      </c>
      <c r="C11" s="1"/>
      <c r="D11" s="1"/>
      <c r="E11" s="174">
        <f>IF(NOT(Inputs!N11="Fixed Rate"),Inputs!N15,-PMT(Inputs!N10/12,Inputs!N9,Inputs!N8-Inputs!N14,-Inputs!N13))</f>
        <v>2398.2021006110358</v>
      </c>
      <c r="F11" s="1"/>
      <c r="G11" s="1"/>
      <c r="H11" s="10"/>
      <c r="I11" s="1"/>
      <c r="J11" s="1"/>
      <c r="K11" s="1"/>
      <c r="L11" s="1"/>
      <c r="M11" s="1"/>
      <c r="N11" s="1"/>
      <c r="O11" s="1"/>
      <c r="P11" s="186"/>
    </row>
    <row r="12" spans="1:16" ht="13.5" thickBot="1">
      <c r="A12" s="12"/>
      <c r="B12" s="1" t="s">
        <v>0</v>
      </c>
      <c r="C12" s="1"/>
      <c r="D12" s="1"/>
      <c r="E12" s="65">
        <f>Inputs!N16</f>
        <v>300</v>
      </c>
      <c r="F12" s="15" t="s">
        <v>5</v>
      </c>
      <c r="G12" s="1"/>
      <c r="H12" s="10"/>
      <c r="I12" s="1"/>
      <c r="J12" s="1"/>
      <c r="K12" s="1"/>
      <c r="L12" s="1"/>
      <c r="M12" s="1"/>
      <c r="N12" s="16"/>
      <c r="O12" s="1"/>
      <c r="P12" s="186"/>
    </row>
    <row r="13" spans="1:16" ht="13.5" thickBot="1">
      <c r="A13" s="12"/>
      <c r="B13" s="1" t="s">
        <v>1</v>
      </c>
      <c r="C13" s="1"/>
      <c r="D13" s="1"/>
      <c r="E13" s="65">
        <f>Inputs!N17</f>
        <v>120</v>
      </c>
      <c r="F13" s="15" t="s">
        <v>5</v>
      </c>
      <c r="G13" s="1"/>
      <c r="H13" s="10"/>
      <c r="I13" s="1"/>
      <c r="J13" s="2" t="str">
        <f ca="1">IF(AND(E38&lt;2%,NOT(PIFAIL)),"Term Needed to Reach"," ")</f>
        <v>Term Needed to Reach</v>
      </c>
      <c r="K13" s="2"/>
      <c r="L13" s="2"/>
      <c r="M13" s="1"/>
      <c r="N13" s="270">
        <f ca="1">IF(OR(E38&gt;=0.02, PIFAIL),"",IF(OR(2%/12*N10&gt;N9,E32&lt;0),"Infinity",ROUNDDOWN(NPER(N7/12,N9*-1,N10),0)))</f>
        <v>594</v>
      </c>
      <c r="O13" s="2" t="str">
        <f ca="1">IF(AND(E38&lt;2%,NOT(PIFAIL)),"  months"," ")</f>
        <v xml:space="preserve">  months</v>
      </c>
      <c r="P13" s="186"/>
    </row>
    <row r="14" spans="1:16">
      <c r="A14" s="12"/>
      <c r="B14" s="1" t="s">
        <v>3</v>
      </c>
      <c r="C14" s="1"/>
      <c r="D14" s="1"/>
      <c r="E14" s="65">
        <f>Inputs!N18</f>
        <v>0</v>
      </c>
      <c r="F14" s="15" t="s">
        <v>5</v>
      </c>
      <c r="G14" s="1"/>
      <c r="H14" s="10"/>
      <c r="I14" s="1"/>
      <c r="J14" s="2" t="str">
        <f ca="1">IF(AND(E38&lt;2%,NOT(PIFAIL)),"Target P&amp;I Payment"," ")</f>
        <v>Target P&amp;I Payment</v>
      </c>
      <c r="K14" s="2"/>
      <c r="L14" s="2"/>
      <c r="M14" s="2"/>
      <c r="N14" s="2"/>
      <c r="O14" s="1"/>
      <c r="P14" s="186"/>
    </row>
    <row r="15" spans="1:16">
      <c r="A15" s="12"/>
      <c r="B15" s="44"/>
      <c r="C15" s="44"/>
      <c r="D15" s="44"/>
      <c r="E15" s="136"/>
      <c r="F15" s="15"/>
      <c r="G15" s="1"/>
      <c r="H15" s="10"/>
      <c r="I15" s="1"/>
      <c r="J15" s="1"/>
      <c r="K15" s="1"/>
      <c r="L15" s="1"/>
      <c r="M15" s="1"/>
      <c r="N15" s="1"/>
      <c r="O15" s="1"/>
      <c r="P15" s="186"/>
    </row>
    <row r="16" spans="1:16">
      <c r="A16" s="12"/>
      <c r="B16" s="2" t="s">
        <v>4</v>
      </c>
      <c r="C16" s="2"/>
      <c r="D16" s="2"/>
      <c r="E16" s="268">
        <f>SUM(E11:E15)</f>
        <v>2818.2021006110358</v>
      </c>
      <c r="F16" s="15" t="s">
        <v>6</v>
      </c>
      <c r="G16" s="1"/>
      <c r="H16" s="10"/>
      <c r="I16" s="1"/>
      <c r="J16" s="1"/>
      <c r="K16" s="1"/>
      <c r="L16" s="1"/>
      <c r="M16" s="1"/>
      <c r="N16" s="1"/>
      <c r="O16" s="1"/>
      <c r="P16" s="186"/>
    </row>
    <row r="17" spans="1:19">
      <c r="A17" s="12"/>
      <c r="B17" s="1"/>
      <c r="C17" s="1"/>
      <c r="D17" s="1"/>
      <c r="E17" s="13"/>
      <c r="F17" s="1"/>
      <c r="G17" s="1"/>
      <c r="H17" s="10"/>
      <c r="I17" s="1"/>
      <c r="J17" s="1"/>
      <c r="K17" s="1"/>
      <c r="L17" s="1"/>
      <c r="M17" s="1"/>
      <c r="N17" s="1"/>
      <c r="O17" s="1"/>
      <c r="P17" s="186"/>
      <c r="S17" s="364"/>
    </row>
    <row r="18" spans="1:19">
      <c r="A18" s="12"/>
      <c r="B18" s="1" t="s">
        <v>23</v>
      </c>
      <c r="C18" s="1"/>
      <c r="D18" s="1"/>
      <c r="E18" s="82">
        <f ca="1">Inputs!N9-ROUNDUP(DAYS360(Inputs!N12,Inputs!N24)/30,0)</f>
        <v>264</v>
      </c>
      <c r="F18" s="5" t="s">
        <v>7</v>
      </c>
      <c r="G18" s="1"/>
      <c r="H18" s="10"/>
      <c r="I18" s="1"/>
      <c r="J18" s="27" t="str">
        <f ca="1">IF(OR(N13&lt;480.1,E38&gt;=2%, PIFAIL),"","Go to next step")</f>
        <v>Go to next step</v>
      </c>
      <c r="K18" s="1"/>
      <c r="L18" s="1"/>
      <c r="M18" s="1"/>
      <c r="N18" s="1"/>
      <c r="O18" s="1"/>
      <c r="P18" s="186"/>
      <c r="S18" s="43"/>
    </row>
    <row r="19" spans="1:19">
      <c r="A19" s="12"/>
      <c r="B19" s="1"/>
      <c r="C19" s="1"/>
      <c r="D19" s="1"/>
      <c r="E19" s="1"/>
      <c r="F19" s="1"/>
      <c r="G19" s="1"/>
      <c r="H19" s="10"/>
      <c r="I19" s="1"/>
      <c r="J19" s="1"/>
      <c r="K19" s="1"/>
      <c r="L19" s="1"/>
      <c r="M19" s="1"/>
      <c r="N19" s="1"/>
      <c r="O19" s="1"/>
      <c r="P19" s="186"/>
      <c r="S19" s="43"/>
    </row>
    <row r="20" spans="1:19" ht="14.25" customHeight="1">
      <c r="A20" s="379" t="s">
        <v>55</v>
      </c>
      <c r="B20" s="380"/>
      <c r="C20" s="380"/>
      <c r="D20" s="380"/>
      <c r="E20" s="380"/>
      <c r="F20" s="380"/>
      <c r="G20" s="381"/>
      <c r="H20" s="10"/>
      <c r="I20" s="1"/>
      <c r="J20" s="1"/>
      <c r="K20" s="1"/>
      <c r="L20" s="1"/>
      <c r="M20" s="1"/>
      <c r="N20" s="1"/>
      <c r="O20" s="1"/>
      <c r="P20" s="186"/>
      <c r="S20" s="304"/>
    </row>
    <row r="21" spans="1:19" ht="15.75">
      <c r="A21" s="12"/>
      <c r="B21" s="14"/>
      <c r="C21" s="14"/>
      <c r="D21" s="14"/>
      <c r="E21" s="35"/>
      <c r="F21" s="1"/>
      <c r="G21" s="1"/>
      <c r="H21" s="10"/>
      <c r="I21" s="385" t="str">
        <f ca="1">IF(OR(N13&lt;480.1,E38&gt;=2%, PIFAIL),"","FORBEAR PRINCIPAL")</f>
        <v>FORBEAR PRINCIPAL</v>
      </c>
      <c r="J21" s="386"/>
      <c r="K21" s="386"/>
      <c r="L21" s="386"/>
      <c r="M21" s="386"/>
      <c r="N21" s="386"/>
      <c r="O21" s="386"/>
      <c r="P21" s="387"/>
    </row>
    <row r="22" spans="1:19">
      <c r="A22" s="12"/>
      <c r="B22" s="146" t="s">
        <v>102</v>
      </c>
      <c r="C22" s="1"/>
      <c r="D22" s="1"/>
      <c r="E22" s="56">
        <f>Inputs!N26</f>
        <v>372217.42729127745</v>
      </c>
      <c r="F22" s="1"/>
      <c r="G22" s="1"/>
      <c r="H22" s="10"/>
      <c r="I22" s="1"/>
      <c r="J22" s="1"/>
      <c r="K22" s="1"/>
      <c r="L22" s="1"/>
      <c r="M22" s="1"/>
      <c r="N22" s="1"/>
      <c r="O22" s="1"/>
      <c r="P22" s="186"/>
    </row>
    <row r="23" spans="1:19">
      <c r="A23" s="12"/>
      <c r="B23" s="146" t="str">
        <f>IF(Inputs!N14&gt;0,"Arrears and Forbearance","Total Eligible Arrears")</f>
        <v>Total Eligible Arrears</v>
      </c>
      <c r="C23" s="1"/>
      <c r="D23" s="1"/>
      <c r="E23" s="40">
        <f ca="1">Inputs!$N$32</f>
        <v>86512.194000000003</v>
      </c>
      <c r="F23" s="15" t="str">
        <f>IF(infotype=3,"","+")</f>
        <v>+</v>
      </c>
      <c r="G23" s="1"/>
      <c r="H23" s="10"/>
      <c r="I23" s="1"/>
      <c r="J23" s="16"/>
      <c r="K23" s="1"/>
      <c r="L23" s="1"/>
      <c r="M23" s="1"/>
      <c r="N23" s="1"/>
      <c r="O23" s="1"/>
      <c r="P23" s="186"/>
    </row>
    <row r="24" spans="1:19">
      <c r="A24" s="12"/>
      <c r="B24" s="2" t="s">
        <v>101</v>
      </c>
      <c r="C24" s="2"/>
      <c r="D24" s="2"/>
      <c r="E24" s="179">
        <f ca="1">SUM(E22:E23)</f>
        <v>458729.62129127746</v>
      </c>
      <c r="F24" s="15"/>
      <c r="G24" s="1"/>
      <c r="H24" s="10"/>
      <c r="I24" s="1"/>
      <c r="J24" s="49" t="str">
        <f ca="1">IF(OR(N13&lt;480.1,E38&gt;=2%, PIFAIL),"","Forbear Greater of:")</f>
        <v>Forbear Greater of:</v>
      </c>
      <c r="K24" s="1"/>
      <c r="L24" s="1"/>
      <c r="M24" s="1"/>
      <c r="N24" s="1"/>
      <c r="O24" s="1"/>
      <c r="P24" s="186"/>
    </row>
    <row r="25" spans="1:19">
      <c r="A25" s="12"/>
      <c r="B25" s="1"/>
      <c r="C25" s="1"/>
      <c r="D25" s="1"/>
      <c r="E25" s="13"/>
      <c r="F25" s="1"/>
      <c r="G25" s="1"/>
      <c r="H25" s="10"/>
      <c r="I25" s="1"/>
      <c r="J25" s="16" t="str">
        <f ca="1">IF(OR(N13&lt;480.1,E38&gt;=2%, PIFAIL),"","30% of UPB")</f>
        <v>30% of UPB</v>
      </c>
      <c r="K25" s="1"/>
      <c r="L25" s="1"/>
      <c r="M25" s="1"/>
      <c r="N25" s="41">
        <f ca="1">IF(OR(N13&lt;480.1,E38&gt;=2%, PIFAIL),"",IF(N13&gt;480,E24*0.3,"N/A"))</f>
        <v>137618.88638738325</v>
      </c>
      <c r="O25" s="16"/>
      <c r="P25" s="186"/>
    </row>
    <row r="26" spans="1:19" ht="15.75">
      <c r="A26" s="382" t="s">
        <v>56</v>
      </c>
      <c r="B26" s="383"/>
      <c r="C26" s="383"/>
      <c r="D26" s="383"/>
      <c r="E26" s="383"/>
      <c r="F26" s="383"/>
      <c r="G26" s="384"/>
      <c r="H26" s="10"/>
      <c r="I26" s="1"/>
      <c r="J26" s="16" t="str">
        <f ca="1">IF(OR(N13&lt;480.1,E38&gt;=2%, PIFAIL),"","UPB - Market Value")</f>
        <v>UPB - Market Value</v>
      </c>
      <c r="K26" s="1"/>
      <c r="L26" s="1"/>
      <c r="M26" s="1"/>
      <c r="N26" s="271">
        <f ca="1">IF(OR(N13&lt;480.1,E38&gt;=2%, PIFAIL),"",N10-Inputs!F9)</f>
        <v>108729.62129127746</v>
      </c>
      <c r="O26" s="16"/>
      <c r="P26" s="186"/>
    </row>
    <row r="27" spans="1:19">
      <c r="A27" s="12"/>
      <c r="B27" s="1"/>
      <c r="C27" s="1"/>
      <c r="D27" s="1"/>
      <c r="E27" s="13"/>
      <c r="F27" s="1"/>
      <c r="G27" s="1"/>
      <c r="H27" s="10"/>
      <c r="I27" s="1"/>
      <c r="J27" s="16"/>
      <c r="K27" s="1"/>
      <c r="L27" s="1"/>
      <c r="M27" s="1"/>
      <c r="N27" s="50"/>
      <c r="O27" s="1"/>
      <c r="P27" s="186"/>
    </row>
    <row r="28" spans="1:19">
      <c r="A28" s="12"/>
      <c r="B28" s="2" t="s">
        <v>18</v>
      </c>
      <c r="C28" s="1"/>
      <c r="D28" s="1"/>
      <c r="E28" s="13"/>
      <c r="F28" s="1"/>
      <c r="G28" s="1"/>
      <c r="H28" s="10"/>
      <c r="I28" s="1"/>
      <c r="J28" s="16" t="str">
        <f ca="1">IF(OR(N13&lt;480.1,E38&gt;=2%, PIFAIL),"","Max Forbearance Amount")</f>
        <v>Max Forbearance Amount</v>
      </c>
      <c r="K28" s="1"/>
      <c r="L28" s="1"/>
      <c r="M28" s="1"/>
      <c r="N28" s="51">
        <f ca="1">IF(OR(N13&lt;480.1,E38&gt;2%, PIFAIL),"",IF(N26&gt;=N25,N26,N25))</f>
        <v>137618.88638738325</v>
      </c>
      <c r="O28" s="1"/>
      <c r="P28" s="186"/>
    </row>
    <row r="29" spans="1:19">
      <c r="A29" s="12"/>
      <c r="B29" s="1"/>
      <c r="C29" s="1"/>
      <c r="D29" s="1"/>
      <c r="E29" s="13"/>
      <c r="F29" s="1"/>
      <c r="G29" s="1"/>
      <c r="H29" s="10"/>
      <c r="I29" s="1"/>
      <c r="J29" s="1" t="str">
        <f ca="1">IF(OR(N13&lt;480.1,E38&gt;=2%, PIFAIL),"","Forbearance Needed to Reach Target PI Payment")</f>
        <v>Forbearance Needed to Reach Target PI Payment</v>
      </c>
      <c r="K29" s="1"/>
      <c r="L29" s="1"/>
      <c r="M29" s="1"/>
      <c r="N29" s="41">
        <f ca="1">IF(OR(N13&lt;480.1,E38&gt;=2%, PIFAIL),"",IF(N13&gt;480,E24-PV(N7/12,480,N9*-1),"N/A"))</f>
        <v>56845.992774409475</v>
      </c>
      <c r="O29" s="1"/>
      <c r="P29" s="186"/>
    </row>
    <row r="30" spans="1:19" ht="13.5" thickBot="1">
      <c r="A30" s="12"/>
      <c r="B30" s="16" t="s">
        <v>19</v>
      </c>
      <c r="C30" s="1"/>
      <c r="D30" s="1"/>
      <c r="E30" s="42">
        <f>E7*0.31</f>
        <v>1637.0066666666667</v>
      </c>
      <c r="F30" s="2" t="s">
        <v>20</v>
      </c>
      <c r="G30" s="1"/>
      <c r="H30" s="10"/>
      <c r="I30" s="1"/>
      <c r="J30" s="1"/>
      <c r="K30" s="1"/>
      <c r="L30" s="1"/>
      <c r="M30" s="1"/>
      <c r="N30" s="4"/>
      <c r="O30" s="1"/>
      <c r="P30" s="186"/>
    </row>
    <row r="31" spans="1:19" ht="13.5" thickBot="1">
      <c r="A31" s="12"/>
      <c r="B31" s="2"/>
      <c r="C31" s="1"/>
      <c r="D31" s="1"/>
      <c r="E31" s="66"/>
      <c r="F31" s="2"/>
      <c r="G31" s="1"/>
      <c r="H31" s="10"/>
      <c r="I31" s="1"/>
      <c r="J31" s="2" t="str">
        <f ca="1">IF(OR(N13&lt;480.1,E38&gt;=2%, PIFAIL),"","Is Needed Forbearance Less Than Max?")</f>
        <v>Is Needed Forbearance Less Than Max?</v>
      </c>
      <c r="K31" s="1"/>
      <c r="L31" s="1"/>
      <c r="M31" s="1"/>
      <c r="N31" s="269" t="str">
        <f ca="1">IF(OR(N13&lt;480.1,E38&gt;=2%, PIFAIL),"",IF(N29&lt;N28,"YES","NO"))</f>
        <v>YES</v>
      </c>
      <c r="O31" s="1"/>
      <c r="P31" s="186"/>
    </row>
    <row r="32" spans="1:19">
      <c r="A32" s="12"/>
      <c r="B32" s="16" t="s">
        <v>21</v>
      </c>
      <c r="C32" s="2"/>
      <c r="D32" s="2"/>
      <c r="E32" s="42">
        <f>E30-E12-E13-E14-E15</f>
        <v>1217.0066666666667</v>
      </c>
      <c r="F32" s="2" t="s">
        <v>50</v>
      </c>
      <c r="G32" s="1"/>
      <c r="H32" s="18"/>
      <c r="I32" s="1"/>
      <c r="J32" s="2"/>
      <c r="K32" s="1"/>
      <c r="L32" s="1"/>
      <c r="M32" s="1"/>
      <c r="N32" s="142"/>
      <c r="O32" s="1"/>
      <c r="P32" s="186"/>
    </row>
    <row r="33" spans="1:16">
      <c r="A33" s="12"/>
      <c r="B33" s="141" t="str">
        <f>IF(E32&lt;0,"Modification Ineligible - TIA Payment Exceeds 31% of GMI","")</f>
        <v/>
      </c>
      <c r="C33" s="1"/>
      <c r="D33" s="1"/>
      <c r="E33" s="1"/>
      <c r="F33" s="1"/>
      <c r="G33" s="16"/>
      <c r="H33" s="10"/>
      <c r="I33" s="1"/>
      <c r="J33" s="2"/>
      <c r="K33" s="1"/>
      <c r="L33" s="1"/>
      <c r="M33" s="1"/>
      <c r="N33" s="142"/>
      <c r="O33" s="1"/>
      <c r="P33" s="186"/>
    </row>
    <row r="34" spans="1:16">
      <c r="A34" s="12"/>
      <c r="B34" s="1"/>
      <c r="C34" s="1"/>
      <c r="D34" s="1"/>
      <c r="E34" s="1"/>
      <c r="F34" s="1"/>
      <c r="G34" s="1"/>
      <c r="H34" s="10"/>
      <c r="I34" s="1"/>
      <c r="J34" s="2"/>
      <c r="K34" s="1"/>
      <c r="L34" s="1"/>
      <c r="M34" s="1"/>
      <c r="N34" s="143"/>
      <c r="O34" s="1"/>
      <c r="P34" s="186"/>
    </row>
    <row r="35" spans="1:16" ht="16.5" customHeight="1" thickBot="1">
      <c r="A35" s="385" t="s">
        <v>57</v>
      </c>
      <c r="B35" s="386"/>
      <c r="C35" s="386"/>
      <c r="D35" s="386"/>
      <c r="E35" s="386"/>
      <c r="F35" s="386"/>
      <c r="G35" s="387"/>
      <c r="H35" s="10"/>
      <c r="I35" s="1"/>
      <c r="J35" s="2"/>
      <c r="K35" s="1"/>
      <c r="L35" s="1"/>
      <c r="M35" s="1"/>
      <c r="N35" s="143"/>
      <c r="O35" s="1"/>
      <c r="P35" s="186"/>
    </row>
    <row r="36" spans="1:16" ht="15" customHeight="1" thickTop="1" thickBot="1">
      <c r="A36" s="12"/>
      <c r="B36" s="11"/>
      <c r="C36" s="1"/>
      <c r="D36" s="1"/>
      <c r="E36" s="1"/>
      <c r="F36" s="164"/>
      <c r="G36" s="1"/>
      <c r="H36" s="10"/>
      <c r="I36" s="1"/>
      <c r="J36" s="105" t="s">
        <v>54</v>
      </c>
      <c r="K36" s="102"/>
      <c r="L36" s="102"/>
      <c r="N36" s="265" t="str">
        <f ca="1">IF(AND(TierOne,Rental="no"),"Yes","No")</f>
        <v>Yes</v>
      </c>
      <c r="O36" s="1"/>
      <c r="P36" s="186"/>
    </row>
    <row r="37" spans="1:16" ht="12" customHeight="1" thickTop="1" thickBot="1">
      <c r="A37" s="12"/>
      <c r="B37" s="2" t="s">
        <v>22</v>
      </c>
      <c r="C37" s="1"/>
      <c r="D37" s="1"/>
      <c r="E37" s="1"/>
      <c r="F37" s="164"/>
      <c r="G37" s="1"/>
      <c r="H37" s="10"/>
      <c r="I37" s="1"/>
      <c r="J37" s="227"/>
      <c r="K37" s="227"/>
      <c r="L37" s="227"/>
      <c r="M37" s="227"/>
      <c r="N37" s="227"/>
      <c r="O37" s="184"/>
      <c r="P37" s="186"/>
    </row>
    <row r="38" spans="1:16" ht="15" customHeight="1" thickBot="1">
      <c r="A38" s="12"/>
      <c r="B38" s="2" t="s">
        <v>17</v>
      </c>
      <c r="C38" s="1"/>
      <c r="D38" s="1"/>
      <c r="E38" s="163">
        <f ca="1">IF(E32&lt;0,0%,ROUNDDOWN(RATE(E18,(E32*-1),E24)*12*8,2))/8</f>
        <v>-0.03</v>
      </c>
      <c r="F38" s="1"/>
      <c r="G38" s="1"/>
      <c r="H38" s="10"/>
      <c r="I38" s="1"/>
      <c r="J38" s="184"/>
      <c r="K38" s="184"/>
      <c r="L38" s="184"/>
      <c r="M38" s="184"/>
      <c r="N38" s="184"/>
      <c r="O38" s="184"/>
      <c r="P38" s="186"/>
    </row>
    <row r="39" spans="1:16" ht="11.25" customHeight="1">
      <c r="A39" s="12"/>
      <c r="B39" s="1"/>
      <c r="C39" s="1"/>
      <c r="D39" s="1"/>
      <c r="E39" s="1"/>
      <c r="F39" s="1"/>
      <c r="G39" s="1"/>
      <c r="H39" s="10"/>
      <c r="I39" s="1"/>
      <c r="J39" s="1"/>
      <c r="K39" s="1"/>
      <c r="L39" s="1"/>
      <c r="M39" s="1"/>
      <c r="N39" s="1"/>
      <c r="O39" s="1"/>
      <c r="P39" s="186"/>
    </row>
    <row r="40" spans="1:16">
      <c r="A40" s="12"/>
      <c r="B40" s="27" t="str">
        <f ca="1">IF(OR(E38&gt;Inputs!N10,'HAMP Tier 1'!E16&lt;'HAMP Tier 1'!E30),"Not Tier 1 eligible - Modfication must reduce Interest Rate and P&amp;I Payments",IF(E38&lt;2%,"Go to next step","No Term Extension or Principal Forbearance Needed"))</f>
        <v>Go to next step</v>
      </c>
      <c r="C40" s="19"/>
      <c r="D40" s="19"/>
      <c r="E40" s="19"/>
      <c r="F40" s="19"/>
      <c r="G40" s="1"/>
      <c r="H40" s="10"/>
      <c r="I40" s="1"/>
      <c r="J40" s="1"/>
      <c r="K40" s="1"/>
      <c r="L40" s="1"/>
      <c r="M40" s="1"/>
      <c r="N40" s="1"/>
      <c r="O40" s="1"/>
      <c r="P40" s="186"/>
    </row>
    <row r="41" spans="1:16">
      <c r="A41" s="12"/>
      <c r="B41" s="1"/>
      <c r="C41" s="1"/>
      <c r="D41" s="1"/>
      <c r="E41" s="1"/>
      <c r="F41" s="1"/>
      <c r="G41" s="1"/>
      <c r="H41" s="10"/>
      <c r="I41" s="1"/>
      <c r="J41" s="1"/>
      <c r="K41" s="1"/>
      <c r="L41" s="1"/>
      <c r="M41" s="1"/>
      <c r="N41" s="1"/>
      <c r="O41" s="1"/>
      <c r="P41" s="186"/>
    </row>
    <row r="42" spans="1:16">
      <c r="A42" s="12"/>
      <c r="B42" s="1"/>
      <c r="C42" s="1"/>
      <c r="D42" s="1"/>
      <c r="E42" s="1"/>
      <c r="F42" s="1"/>
      <c r="G42" s="1"/>
      <c r="H42" s="10"/>
      <c r="I42" s="1"/>
      <c r="J42" s="1"/>
      <c r="K42" s="1"/>
      <c r="L42" s="1"/>
      <c r="M42" s="1"/>
      <c r="N42" s="1"/>
      <c r="O42" s="1"/>
      <c r="P42" s="186"/>
    </row>
    <row r="43" spans="1:16">
      <c r="A43" s="226" t="str">
        <f>VLOOKUP(Owner,Current,2)</f>
        <v>Current as of Supplemental Directive 15-08</v>
      </c>
      <c r="B43" s="20"/>
      <c r="C43" s="20"/>
      <c r="D43" s="20"/>
      <c r="E43" s="20"/>
      <c r="F43" s="20"/>
      <c r="G43" s="20"/>
      <c r="H43" s="21"/>
      <c r="I43" s="20"/>
      <c r="J43" s="20"/>
      <c r="K43" s="20"/>
      <c r="L43" s="20"/>
      <c r="M43" s="20"/>
      <c r="N43" s="20"/>
      <c r="O43" s="93" t="s">
        <v>80</v>
      </c>
      <c r="P43" s="71"/>
    </row>
    <row r="44" spans="1:16">
      <c r="H44" s="3"/>
      <c r="P44" s="3"/>
    </row>
    <row r="45" spans="1:16">
      <c r="H45" s="3"/>
      <c r="P45" s="3"/>
    </row>
    <row r="46" spans="1:16">
      <c r="H46" s="3"/>
      <c r="P46" s="3"/>
    </row>
    <row r="47" spans="1:16">
      <c r="H47" s="3"/>
    </row>
    <row r="48" spans="1:16">
      <c r="H48" s="3"/>
    </row>
    <row r="49" spans="7:9">
      <c r="H49" s="3"/>
    </row>
    <row r="50" spans="7:9">
      <c r="G50" s="3"/>
      <c r="H50" s="3"/>
      <c r="I50" s="3"/>
    </row>
    <row r="51" spans="7:9">
      <c r="G51" s="3"/>
      <c r="H51" s="3"/>
      <c r="I51" s="3"/>
    </row>
    <row r="52" spans="7:9">
      <c r="G52" s="3"/>
      <c r="H52" s="3"/>
      <c r="I52" s="3"/>
    </row>
    <row r="53" spans="7:9">
      <c r="G53" s="3"/>
      <c r="H53" s="3"/>
      <c r="I53" s="3"/>
    </row>
    <row r="54" spans="7:9">
      <c r="G54" s="3"/>
      <c r="H54" s="3"/>
      <c r="I54" s="3"/>
    </row>
  </sheetData>
  <sheetProtection sheet="1" objects="1" scenarios="1"/>
  <customSheetViews>
    <customSheetView guid="{0367687A-2E80-4414-9E57-D64905950517}" showGridLines="0">
      <selection activeCell="B13" sqref="B13"/>
    </customSheetView>
  </customSheetViews>
  <mergeCells count="7">
    <mergeCell ref="A1:P1"/>
    <mergeCell ref="A20:G20"/>
    <mergeCell ref="A26:G26"/>
    <mergeCell ref="A35:G35"/>
    <mergeCell ref="I21:P21"/>
    <mergeCell ref="I2:P2"/>
    <mergeCell ref="D3:E3"/>
  </mergeCells>
  <phoneticPr fontId="2" type="noConversion"/>
  <conditionalFormatting sqref="B36:G42 B3:G19 B21:G25 B27:G34 I22:I42 O22:O36 J39:O42 J22:N35 I3:O20">
    <cfRule type="expression" dxfId="59" priority="8" stopIfTrue="1">
      <formula>IF($B$2="RENTAL PROPERTIES AREN'T TIER 1 ELIGIBLE",1,0)</formula>
    </cfRule>
  </conditionalFormatting>
  <conditionalFormatting sqref="A1:P43">
    <cfRule type="expression" dxfId="58" priority="3" stopIfTrue="1">
      <formula>IF($O$43="MFY Legal Services Inc.'s Proprietary Waterfall Worksheet",0,1)</formula>
    </cfRule>
  </conditionalFormatting>
  <conditionalFormatting sqref="J38:N39 A36:G40 I22:I39 O22:O39 J22:N35 I3:O20">
    <cfRule type="expression" dxfId="57" priority="11">
      <formula>IF($E$32&lt;0,1,0)</formula>
    </cfRule>
  </conditionalFormatting>
  <conditionalFormatting sqref="N7:N13">
    <cfRule type="expression" dxfId="56" priority="23">
      <formula>IF(OR($E$38&gt;=2%, PIFAIL),1,0)</formula>
    </cfRule>
  </conditionalFormatting>
  <conditionalFormatting sqref="N25:N35">
    <cfRule type="expression" dxfId="55" priority="45">
      <formula>IF(OR($N$13&lt;480.1,$E$38&gt;=2%, PIFAIL),1,0)</formula>
    </cfRule>
  </conditionalFormatting>
  <conditionalFormatting sqref="I21:P21 I2:P2 A20:G20 A26:G26 A35:G35">
    <cfRule type="expression" dxfId="54" priority="6">
      <formula>IF(Rental="Yes",1,0)</formula>
    </cfRule>
  </conditionalFormatting>
  <conditionalFormatting sqref="J36:L36 N36">
    <cfRule type="expression" dxfId="53" priority="5">
      <formula>IF(AND(NOT(Owner=3),UPB&lt;0.8*Value),1,0)</formula>
    </cfRule>
  </conditionalFormatting>
  <pageMargins left="0.75" right="0.75" top="1" bottom="1" header="0.5" footer="0.5"/>
  <pageSetup scale="80" orientation="landscape" r:id="rId1"/>
  <headerFooter alignWithMargins="0">
    <oddHeader>&amp;L&amp;14&amp;F&amp;10
Run on: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38"/>
    <pageSetUpPr autoPageBreaks="0"/>
  </sheetPr>
  <dimension ref="A1:R43"/>
  <sheetViews>
    <sheetView showGridLines="0" zoomScaleNormal="100" workbookViewId="0">
      <selection activeCell="J7" sqref="J7"/>
    </sheetView>
  </sheetViews>
  <sheetFormatPr defaultRowHeight="12.75"/>
  <cols>
    <col min="1" max="1" width="3" style="99" customWidth="1"/>
    <col min="2" max="3" width="9.140625" style="99"/>
    <col min="4" max="4" width="12.7109375" style="99" customWidth="1"/>
    <col min="5" max="5" width="15.42578125" style="99" customWidth="1"/>
    <col min="6" max="6" width="8.85546875" style="99" customWidth="1"/>
    <col min="7" max="7" width="10" style="99" customWidth="1"/>
    <col min="8" max="8" width="4.42578125" style="99" customWidth="1"/>
    <col min="9" max="9" width="6.42578125" style="99" customWidth="1"/>
    <col min="10" max="10" width="6.28515625" style="99" customWidth="1"/>
    <col min="11" max="11" width="12.85546875" style="99" customWidth="1"/>
    <col min="12" max="12" width="7.42578125" style="99" customWidth="1"/>
    <col min="13" max="13" width="3.140625" style="99" customWidth="1"/>
    <col min="14" max="14" width="4.7109375" style="99" customWidth="1"/>
    <col min="15" max="15" width="10.42578125" style="99" customWidth="1"/>
    <col min="16" max="16" width="17.7109375" style="99" customWidth="1"/>
    <col min="17" max="17" width="2.140625" style="99" customWidth="1"/>
    <col min="18" max="18" width="2.7109375" style="155" customWidth="1"/>
    <col min="19" max="16384" width="9.140625" style="99"/>
  </cols>
  <sheetData>
    <row r="1" spans="1:18" ht="18.75">
      <c r="A1" s="392" t="str">
        <f>IF(Owner=3,"TIER 2 WATERFALL",IF(Owner=1,"FNMA STANDARD MODIFICATION",IF(Owner=2,"FDMC STANDARD MODIFICATION",0)))</f>
        <v>TIER 2 WATERFALL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4"/>
    </row>
    <row r="2" spans="1:18">
      <c r="A2" s="96"/>
      <c r="B2" s="153" t="str">
        <f>IF(Q43="MFY's Proprietary Waterfall Worksheet for HAMP Tiers 1 and 2","","MFY's Proprietary Waterfall Worksheet for HAMP Tiers 1 and 2")</f>
        <v>MFY's Proprietary Waterfall Worksheet for HAMP Tiers 1 and 2</v>
      </c>
      <c r="C2" s="97"/>
      <c r="D2" s="97"/>
      <c r="E2" s="97"/>
      <c r="F2" s="97"/>
      <c r="G2" s="97"/>
      <c r="H2" s="98"/>
      <c r="I2" s="97"/>
      <c r="J2" s="97"/>
      <c r="K2" s="97"/>
      <c r="L2" s="97"/>
      <c r="M2" s="97"/>
      <c r="N2" s="97"/>
      <c r="O2" s="97"/>
      <c r="P2" s="97"/>
      <c r="Q2" s="97"/>
      <c r="R2" s="200"/>
    </row>
    <row r="3" spans="1:18" ht="18.75">
      <c r="A3" s="100"/>
      <c r="B3" s="101"/>
      <c r="C3" s="102"/>
      <c r="D3" s="103"/>
      <c r="E3" s="102"/>
      <c r="F3" s="102"/>
      <c r="G3" s="102"/>
      <c r="H3" s="104"/>
      <c r="I3" s="379" t="str">
        <f ca="1">IF(AND(Owner&lt;3,UPB&lt;0.8*Value),"MTMLTV&lt;80% - NO FORBEARANCE","FORBEAR PRINCIPAL")</f>
        <v>FORBEAR PRINCIPAL</v>
      </c>
      <c r="J3" s="380"/>
      <c r="K3" s="380"/>
      <c r="L3" s="380"/>
      <c r="M3" s="380"/>
      <c r="N3" s="380"/>
      <c r="O3" s="380"/>
      <c r="P3" s="380"/>
      <c r="Q3" s="380"/>
      <c r="R3" s="381"/>
    </row>
    <row r="4" spans="1:18">
      <c r="A4" s="100"/>
      <c r="B4" s="102"/>
      <c r="C4" s="102"/>
      <c r="D4" s="391" t="s">
        <v>70</v>
      </c>
      <c r="E4" s="391"/>
      <c r="F4" s="102"/>
      <c r="G4" s="102"/>
      <c r="H4" s="104"/>
      <c r="I4" s="102"/>
      <c r="J4" s="102"/>
      <c r="K4" s="102"/>
      <c r="L4" s="102"/>
      <c r="M4" s="102"/>
      <c r="N4" s="102"/>
      <c r="O4" s="102"/>
      <c r="P4" s="102"/>
      <c r="Q4" s="102"/>
      <c r="R4" s="196"/>
    </row>
    <row r="5" spans="1:18">
      <c r="A5" s="100"/>
      <c r="B5" s="102"/>
      <c r="C5" s="102"/>
      <c r="D5" s="213" t="s">
        <v>8</v>
      </c>
      <c r="E5" s="214" t="s">
        <v>26</v>
      </c>
      <c r="F5" s="102"/>
      <c r="G5" s="102"/>
      <c r="H5" s="104"/>
      <c r="I5" s="102"/>
      <c r="J5" s="102" t="s">
        <v>10</v>
      </c>
      <c r="K5" s="102"/>
      <c r="L5" s="102"/>
      <c r="M5" s="102"/>
      <c r="N5" s="102"/>
      <c r="O5" s="102"/>
      <c r="P5" s="83">
        <f>Inputs!F9</f>
        <v>350000</v>
      </c>
      <c r="Q5" s="102"/>
      <c r="R5" s="196"/>
    </row>
    <row r="6" spans="1:18">
      <c r="A6" s="100"/>
      <c r="B6" s="106"/>
      <c r="C6" s="106"/>
      <c r="D6" s="215" t="s">
        <v>27</v>
      </c>
      <c r="E6" s="216" t="s">
        <v>69</v>
      </c>
      <c r="F6" s="102"/>
      <c r="G6" s="102"/>
      <c r="H6" s="104"/>
      <c r="I6" s="102"/>
      <c r="J6" s="151" t="s">
        <v>101</v>
      </c>
      <c r="K6" s="102"/>
      <c r="L6" s="102"/>
      <c r="M6" s="102"/>
      <c r="N6" s="102"/>
      <c r="O6" s="102"/>
      <c r="P6" s="107">
        <f ca="1">UPB</f>
        <v>458729.62129127746</v>
      </c>
      <c r="Q6" s="102"/>
      <c r="R6" s="197"/>
    </row>
    <row r="7" spans="1:18">
      <c r="A7" s="100"/>
      <c r="B7" s="102"/>
      <c r="C7" s="102"/>
      <c r="D7" s="102"/>
      <c r="E7" s="102"/>
      <c r="F7" s="102"/>
      <c r="G7" s="102"/>
      <c r="H7" s="104"/>
      <c r="I7" s="102"/>
      <c r="J7" s="102" t="s">
        <v>181</v>
      </c>
      <c r="K7" s="102"/>
      <c r="L7" s="102"/>
      <c r="M7" s="102"/>
      <c r="N7" s="102"/>
      <c r="O7" s="102"/>
      <c r="P7" s="108">
        <f ca="1">P6/P5</f>
        <v>1.3106560608322213</v>
      </c>
      <c r="Q7" s="192"/>
      <c r="R7" s="197"/>
    </row>
    <row r="8" spans="1:18">
      <c r="A8" s="100"/>
      <c r="B8" s="109" t="s">
        <v>2</v>
      </c>
      <c r="C8" s="109"/>
      <c r="D8" s="109"/>
      <c r="E8" s="110">
        <f>GMI</f>
        <v>5280.666666666667</v>
      </c>
      <c r="F8" s="102"/>
      <c r="G8" s="102"/>
      <c r="H8" s="104"/>
      <c r="I8" s="102"/>
      <c r="J8" s="102"/>
      <c r="K8" s="102"/>
      <c r="L8" s="102"/>
      <c r="M8" s="102"/>
      <c r="N8" s="102"/>
      <c r="O8" s="102"/>
      <c r="P8" s="111"/>
      <c r="Q8" s="102"/>
      <c r="R8" s="197"/>
    </row>
    <row r="9" spans="1:18">
      <c r="A9" s="100"/>
      <c r="B9" s="102"/>
      <c r="C9" s="102"/>
      <c r="D9" s="102"/>
      <c r="E9" s="102"/>
      <c r="F9" s="102"/>
      <c r="G9" s="102"/>
      <c r="H9" s="104"/>
      <c r="I9" s="102"/>
      <c r="J9" s="109" t="s">
        <v>198</v>
      </c>
      <c r="K9" s="102"/>
      <c r="L9" s="102"/>
      <c r="M9" s="102"/>
      <c r="N9" s="102"/>
      <c r="O9" s="102"/>
      <c r="P9" s="112" t="str">
        <f ca="1">IF(P7&gt;1.15,"YES","NO")</f>
        <v>YES</v>
      </c>
      <c r="Q9" s="102"/>
      <c r="R9" s="197"/>
    </row>
    <row r="10" spans="1:18">
      <c r="A10" s="100"/>
      <c r="B10" s="102"/>
      <c r="C10" s="102"/>
      <c r="D10" s="102"/>
      <c r="E10" s="102"/>
      <c r="F10" s="102"/>
      <c r="G10" s="102"/>
      <c r="H10" s="104"/>
      <c r="I10" s="102"/>
      <c r="J10" s="102"/>
      <c r="K10" s="113" t="str">
        <f ca="1">IF(P9="No","Proceed to Step 5","")</f>
        <v/>
      </c>
      <c r="L10" s="113"/>
      <c r="M10" s="113"/>
      <c r="N10" s="102"/>
      <c r="O10" s="102"/>
      <c r="P10" s="102"/>
      <c r="Q10" s="102"/>
      <c r="R10" s="196"/>
    </row>
    <row r="11" spans="1:18" ht="15.75">
      <c r="A11" s="100"/>
      <c r="B11" s="114" t="s">
        <v>24</v>
      </c>
      <c r="C11" s="102"/>
      <c r="D11" s="102"/>
      <c r="E11" s="115"/>
      <c r="F11" s="102"/>
      <c r="G11" s="102"/>
      <c r="H11" s="104"/>
      <c r="I11" s="102"/>
      <c r="J11" s="109" t="s">
        <v>116</v>
      </c>
      <c r="K11" s="109"/>
      <c r="L11" s="109"/>
      <c r="M11" s="109"/>
      <c r="N11" s="109"/>
      <c r="O11" s="109"/>
      <c r="P11" s="116"/>
      <c r="Q11" s="102"/>
      <c r="R11" s="196"/>
    </row>
    <row r="12" spans="1:18">
      <c r="A12" s="100"/>
      <c r="B12" s="102"/>
      <c r="C12" s="102"/>
      <c r="D12" s="102"/>
      <c r="E12" s="115"/>
      <c r="F12" s="102"/>
      <c r="G12" s="102"/>
      <c r="H12" s="104"/>
      <c r="I12" s="102"/>
      <c r="J12" s="117" t="s">
        <v>11</v>
      </c>
      <c r="K12" s="109"/>
      <c r="L12" s="109"/>
      <c r="M12" s="109"/>
      <c r="N12" s="109"/>
      <c r="O12" s="109"/>
      <c r="P12" s="109"/>
      <c r="Q12" s="102"/>
      <c r="R12" s="196"/>
    </row>
    <row r="13" spans="1:18">
      <c r="A13" s="100"/>
      <c r="B13" s="151" t="s">
        <v>46</v>
      </c>
      <c r="C13" s="102"/>
      <c r="D13" s="102"/>
      <c r="E13" s="171">
        <f>'HAMP Tier 1'!$E$11</f>
        <v>2398.2021006110358</v>
      </c>
      <c r="F13" s="102"/>
      <c r="G13" s="102"/>
      <c r="H13" s="104"/>
      <c r="I13" s="102"/>
      <c r="J13" s="102"/>
      <c r="K13" s="102" t="s">
        <v>12</v>
      </c>
      <c r="L13" s="102"/>
      <c r="M13" s="102"/>
      <c r="N13" s="102"/>
      <c r="O13" s="102"/>
      <c r="P13" s="118">
        <f ca="1">IF(P9="NO","",P5*1.15)</f>
        <v>402499.99999999994</v>
      </c>
      <c r="Q13" s="109"/>
      <c r="R13" s="196"/>
    </row>
    <row r="14" spans="1:18">
      <c r="A14" s="100"/>
      <c r="B14" s="102" t="s">
        <v>0</v>
      </c>
      <c r="C14" s="102"/>
      <c r="D14" s="102"/>
      <c r="E14" s="119">
        <f>'HAMP Tier 1'!$E$12</f>
        <v>300</v>
      </c>
      <c r="F14" s="120" t="s">
        <v>5</v>
      </c>
      <c r="G14" s="102"/>
      <c r="H14" s="104"/>
      <c r="I14" s="102"/>
      <c r="J14" s="102"/>
      <c r="K14" s="102" t="s">
        <v>14</v>
      </c>
      <c r="L14" s="102"/>
      <c r="M14" s="102"/>
      <c r="N14" s="102"/>
      <c r="O14" s="102"/>
      <c r="P14" s="118">
        <f ca="1">IF(P9="NO","",E27-P13)</f>
        <v>56229.621291277523</v>
      </c>
      <c r="Q14" s="109"/>
      <c r="R14" s="196"/>
    </row>
    <row r="15" spans="1:18">
      <c r="A15" s="100"/>
      <c r="B15" s="102" t="s">
        <v>1</v>
      </c>
      <c r="C15" s="102"/>
      <c r="D15" s="102"/>
      <c r="E15" s="224">
        <f>'HAMP Tier 1'!$E$13</f>
        <v>120</v>
      </c>
      <c r="F15" s="120" t="s">
        <v>5</v>
      </c>
      <c r="G15" s="102"/>
      <c r="H15" s="104"/>
      <c r="I15" s="102"/>
      <c r="J15" s="151" t="s">
        <v>71</v>
      </c>
      <c r="K15" s="102"/>
      <c r="L15" s="102"/>
      <c r="M15" s="102"/>
      <c r="N15" s="102"/>
      <c r="O15" s="102"/>
      <c r="P15" s="121"/>
      <c r="Q15" s="102"/>
      <c r="R15" s="196"/>
    </row>
    <row r="16" spans="1:18">
      <c r="A16" s="100"/>
      <c r="B16" s="102" t="s">
        <v>3</v>
      </c>
      <c r="C16" s="102"/>
      <c r="D16" s="102"/>
      <c r="E16" s="137">
        <f>'HAMP Tier 1'!$E$14</f>
        <v>0</v>
      </c>
      <c r="F16" s="120" t="s">
        <v>5</v>
      </c>
      <c r="G16" s="102"/>
      <c r="H16" s="104"/>
      <c r="I16" s="102"/>
      <c r="J16" s="102"/>
      <c r="K16" s="102" t="s">
        <v>12</v>
      </c>
      <c r="L16" s="102"/>
      <c r="M16" s="102"/>
      <c r="N16" s="102"/>
      <c r="O16" s="102"/>
      <c r="P16" s="221">
        <f ca="1">E27*0.7</f>
        <v>321110.73490389419</v>
      </c>
      <c r="Q16" s="102"/>
      <c r="R16" s="196"/>
    </row>
    <row r="17" spans="1:18">
      <c r="A17" s="100"/>
      <c r="B17" s="103"/>
      <c r="C17" s="102"/>
      <c r="D17" s="102"/>
      <c r="E17" s="139"/>
      <c r="F17" s="122"/>
      <c r="G17" s="102"/>
      <c r="H17" s="104"/>
      <c r="I17" s="102"/>
      <c r="J17" s="102"/>
      <c r="K17" s="102" t="s">
        <v>14</v>
      </c>
      <c r="L17" s="102"/>
      <c r="M17" s="102"/>
      <c r="N17" s="102"/>
      <c r="O17" s="102"/>
      <c r="P17" s="118">
        <f ca="1">IF(P9="NO","",E27*0.3)</f>
        <v>137618.88638738325</v>
      </c>
      <c r="Q17" s="102"/>
      <c r="R17" s="196"/>
    </row>
    <row r="18" spans="1:18">
      <c r="A18" s="100"/>
      <c r="B18" s="109" t="s">
        <v>25</v>
      </c>
      <c r="C18" s="109"/>
      <c r="D18" s="109"/>
      <c r="E18" s="138">
        <f>SUM(E13:E17)</f>
        <v>2818.2021006110358</v>
      </c>
      <c r="F18" s="120"/>
      <c r="G18" s="102"/>
      <c r="H18" s="104"/>
      <c r="I18" s="102"/>
      <c r="J18" s="124" t="s">
        <v>13</v>
      </c>
      <c r="K18" s="102"/>
      <c r="L18" s="102"/>
      <c r="M18" s="102"/>
      <c r="N18" s="102"/>
      <c r="O18" s="102"/>
      <c r="P18" s="125">
        <f ca="1">IF(P14&lt;P17,P14,P17)</f>
        <v>56229.621291277523</v>
      </c>
      <c r="Q18" s="102"/>
      <c r="R18" s="196"/>
    </row>
    <row r="19" spans="1:18">
      <c r="A19" s="100"/>
      <c r="B19" s="102"/>
      <c r="C19" s="102"/>
      <c r="D19" s="102"/>
      <c r="E19" s="115"/>
      <c r="F19" s="102"/>
      <c r="G19" s="102"/>
      <c r="H19" s="104"/>
      <c r="I19" s="102"/>
      <c r="J19" s="102"/>
      <c r="K19" s="102"/>
      <c r="L19" s="102"/>
      <c r="M19" s="102"/>
      <c r="N19" s="102"/>
      <c r="O19" s="102"/>
      <c r="P19" s="102"/>
      <c r="Q19" s="102"/>
      <c r="R19" s="196"/>
    </row>
    <row r="20" spans="1:18">
      <c r="A20" s="100"/>
      <c r="B20" s="109" t="s">
        <v>23</v>
      </c>
      <c r="C20" s="102"/>
      <c r="D20" s="102"/>
      <c r="E20" s="126">
        <f ca="1">'HAMP Tier 1'!$E$18</f>
        <v>264</v>
      </c>
      <c r="F20" s="103" t="s">
        <v>7</v>
      </c>
      <c r="G20" s="102"/>
      <c r="H20" s="104"/>
      <c r="I20" s="102"/>
      <c r="J20" s="152" t="s">
        <v>53</v>
      </c>
      <c r="K20" s="102"/>
      <c r="L20" s="102"/>
      <c r="M20" s="102"/>
      <c r="N20" s="102"/>
      <c r="O20" s="102"/>
      <c r="P20" s="123">
        <f ca="1">IF(P9="YES",E27-P18,E27)</f>
        <v>402499.99999999994</v>
      </c>
      <c r="Q20" s="102"/>
      <c r="R20" s="196"/>
    </row>
    <row r="21" spans="1:18">
      <c r="A21" s="100"/>
      <c r="B21" s="109"/>
      <c r="C21" s="102"/>
      <c r="D21" s="102"/>
      <c r="E21" s="172"/>
      <c r="F21" s="103"/>
      <c r="G21" s="102"/>
      <c r="H21" s="104"/>
      <c r="I21" s="102"/>
      <c r="J21" s="102"/>
      <c r="K21" s="102"/>
      <c r="L21" s="102"/>
      <c r="M21" s="102"/>
      <c r="N21" s="102"/>
      <c r="O21" s="102"/>
      <c r="P21" s="102"/>
      <c r="Q21" s="102"/>
      <c r="R21" s="196"/>
    </row>
    <row r="22" spans="1:18" ht="15.75">
      <c r="A22" s="100"/>
      <c r="B22" s="102"/>
      <c r="C22" s="102"/>
      <c r="D22" s="102"/>
      <c r="E22" s="102"/>
      <c r="F22" s="102"/>
      <c r="G22" s="102"/>
      <c r="H22" s="104"/>
      <c r="I22" s="379" t="s">
        <v>108</v>
      </c>
      <c r="J22" s="380"/>
      <c r="K22" s="380"/>
      <c r="L22" s="380"/>
      <c r="M22" s="380"/>
      <c r="N22" s="380"/>
      <c r="O22" s="380"/>
      <c r="P22" s="380"/>
      <c r="Q22" s="380"/>
      <c r="R22" s="381"/>
    </row>
    <row r="23" spans="1:18" ht="15.75">
      <c r="A23" s="379" t="s">
        <v>55</v>
      </c>
      <c r="B23" s="380"/>
      <c r="C23" s="380"/>
      <c r="D23" s="380"/>
      <c r="E23" s="380"/>
      <c r="F23" s="380"/>
      <c r="G23" s="381"/>
      <c r="H23" s="104"/>
      <c r="I23" s="102"/>
      <c r="J23" s="127"/>
      <c r="K23" s="102"/>
      <c r="L23" s="102"/>
      <c r="M23" s="102"/>
      <c r="N23" s="102"/>
      <c r="O23" s="102"/>
      <c r="P23" s="102"/>
      <c r="Q23" s="102"/>
      <c r="R23" s="196"/>
    </row>
    <row r="24" spans="1:18">
      <c r="A24" s="100"/>
      <c r="B24" s="113"/>
      <c r="C24" s="102"/>
      <c r="D24" s="102"/>
      <c r="E24" s="115"/>
      <c r="F24" s="102"/>
      <c r="G24" s="102"/>
      <c r="H24" s="104"/>
      <c r="I24" s="102"/>
      <c r="J24" s="117" t="s">
        <v>28</v>
      </c>
      <c r="K24" s="102"/>
      <c r="L24" s="102"/>
      <c r="M24" s="102"/>
      <c r="N24" s="102"/>
      <c r="O24" s="102"/>
      <c r="P24" s="128">
        <f ca="1">PMT(E35/12,E41,-P20)</f>
        <v>1559.2486170662212</v>
      </c>
      <c r="Q24" s="102"/>
      <c r="R24" s="196"/>
    </row>
    <row r="25" spans="1:18">
      <c r="A25" s="100"/>
      <c r="B25" s="151" t="s">
        <v>102</v>
      </c>
      <c r="C25" s="102"/>
      <c r="D25" s="102"/>
      <c r="E25" s="119">
        <f>'HAMP Tier 1'!$E$22</f>
        <v>372217.42729127745</v>
      </c>
      <c r="F25" s="102"/>
      <c r="G25" s="102"/>
      <c r="H25" s="104"/>
      <c r="I25" s="102"/>
      <c r="J25" s="109" t="s">
        <v>29</v>
      </c>
      <c r="K25" s="102"/>
      <c r="L25" s="102"/>
      <c r="M25" s="102"/>
      <c r="N25" s="102"/>
      <c r="O25" s="102"/>
      <c r="P25" s="128">
        <f ca="1">P24+E14+E15+E16+E17</f>
        <v>1979.2486170662212</v>
      </c>
      <c r="Q25" s="102"/>
      <c r="R25" s="196"/>
    </row>
    <row r="26" spans="1:18">
      <c r="A26" s="100"/>
      <c r="B26" s="151" t="str">
        <f>'HAMP Tier 1'!B23</f>
        <v>Total Eligible Arrears</v>
      </c>
      <c r="C26" s="102"/>
      <c r="D26" s="102"/>
      <c r="E26" s="119">
        <f ca="1">'HAMP Tier 1'!$E$23</f>
        <v>86512.194000000003</v>
      </c>
      <c r="F26" s="149" t="str">
        <f>IF(infotype=3,"","+")</f>
        <v>+</v>
      </c>
      <c r="G26" s="102"/>
      <c r="H26" s="104"/>
      <c r="I26" s="102"/>
      <c r="J26" s="109"/>
      <c r="K26" s="102"/>
      <c r="L26" s="102"/>
      <c r="M26" s="102"/>
      <c r="N26" s="102"/>
      <c r="O26" s="102"/>
      <c r="P26" s="283"/>
      <c r="Q26" s="102"/>
      <c r="R26" s="196"/>
    </row>
    <row r="27" spans="1:18">
      <c r="A27" s="100"/>
      <c r="B27" s="109" t="s">
        <v>43</v>
      </c>
      <c r="C27" s="109"/>
      <c r="D27" s="109"/>
      <c r="E27" s="123">
        <f ca="1">UPB</f>
        <v>458729.62129127746</v>
      </c>
      <c r="F27" s="120"/>
      <c r="G27" s="102"/>
      <c r="H27" s="104"/>
      <c r="J27" s="109" t="str">
        <f>IF(AND(Owner=3,NOT(rangeunknown)),"Servicer DTI Range:","")</f>
        <v>Servicer DTI Range:</v>
      </c>
      <c r="K27" s="102"/>
      <c r="L27" s="285">
        <f>IF(AND(Owner=3,NOT(OR(Servicer="Other",Servicer=""))),VLOOKUP(Servicer,DTI_Range,2),"")</f>
        <v>0.1</v>
      </c>
      <c r="M27" s="286" t="str">
        <f>IF(AND(Owner=3,NOT(OR(Servicer="Other",Servicer=""))),"to","")</f>
        <v>to</v>
      </c>
      <c r="N27" s="285">
        <f>IF(AND(Owner=3,NOT(OR(Servicer="Other",Servicer=""))),VLOOKUP(Servicer,DTI_Range,3),"")</f>
        <v>0.55000000000000004</v>
      </c>
      <c r="O27" s="284"/>
      <c r="P27" s="102"/>
      <c r="Q27" s="102"/>
      <c r="R27" s="196"/>
    </row>
    <row r="28" spans="1:18">
      <c r="A28" s="100"/>
      <c r="B28" s="102"/>
      <c r="C28" s="102"/>
      <c r="D28" s="102"/>
      <c r="E28" s="115"/>
      <c r="F28" s="102"/>
      <c r="G28" s="102"/>
      <c r="H28" s="104"/>
      <c r="I28" s="102"/>
      <c r="J28" s="151" t="str">
        <f>IF(AND(Owner=3,NOT(OR(Servicer="Other",Servicer=""))),"(1) Is the new DTI within the Servicer's DTI Range?","(1) Is new DTI between 10% and 55%")</f>
        <v>(1) Is the new DTI within the Servicer's DTI Range?</v>
      </c>
      <c r="K28" s="102"/>
      <c r="L28" s="102"/>
      <c r="M28" s="102"/>
      <c r="N28" s="102"/>
      <c r="O28" s="102"/>
      <c r="P28" s="102"/>
      <c r="Q28" s="111"/>
      <c r="R28" s="196"/>
    </row>
    <row r="29" spans="1:18">
      <c r="A29" s="100"/>
      <c r="B29" s="102"/>
      <c r="C29" s="102"/>
      <c r="D29" s="102"/>
      <c r="E29" s="115"/>
      <c r="F29" s="102"/>
      <c r="G29" s="102"/>
      <c r="H29" s="104"/>
      <c r="I29" s="102"/>
      <c r="J29" s="102"/>
      <c r="K29" s="102" t="s">
        <v>15</v>
      </c>
      <c r="L29" s="102"/>
      <c r="M29" s="102"/>
      <c r="N29" s="102"/>
      <c r="O29" s="102"/>
      <c r="P29" s="108">
        <f ca="1">IF(Inputs!F10="YES",(Inputs!N43)/GMI,((P25+Inputs!$N$42)/GMI))</f>
        <v>0.37481036808475338</v>
      </c>
      <c r="Q29" s="102"/>
      <c r="R29" s="196"/>
    </row>
    <row r="30" spans="1:18" ht="15.75">
      <c r="A30" s="385" t="str">
        <f ca="1">IF(AND(Owner&lt;3,UPB&lt;0.8*Value),"SET FIXED RATE","REDUCE INTEREST RATE")</f>
        <v>REDUCE INTEREST RATE</v>
      </c>
      <c r="B30" s="386"/>
      <c r="C30" s="386"/>
      <c r="D30" s="386"/>
      <c r="E30" s="386"/>
      <c r="F30" s="386"/>
      <c r="G30" s="387"/>
      <c r="H30" s="104"/>
      <c r="I30" s="102"/>
      <c r="J30" s="102"/>
      <c r="K30" s="102" t="s">
        <v>16</v>
      </c>
      <c r="L30" s="102"/>
      <c r="M30" s="102"/>
      <c r="N30" s="102"/>
      <c r="O30" s="102"/>
      <c r="P30" s="112" t="str">
        <f ca="1">IF(AND(Owner=3,NOT(OR(Servicer="Other",Servicer=""))),IF(OR(P29&gt;N27, P29&lt;L27),"NO","YES"),IF(OR(P29&gt;0.55, P29&lt;0.1),"NO","YES"))</f>
        <v>YES</v>
      </c>
      <c r="Q30" s="102"/>
      <c r="R30" s="196"/>
    </row>
    <row r="31" spans="1:18">
      <c r="A31" s="100"/>
      <c r="B31" s="102"/>
      <c r="C31" s="102"/>
      <c r="D31" s="102"/>
      <c r="E31" s="115"/>
      <c r="F31" s="102"/>
      <c r="G31" s="102"/>
      <c r="H31" s="104"/>
      <c r="I31" s="102"/>
      <c r="J31" s="150"/>
      <c r="K31" s="102"/>
      <c r="L31" s="102"/>
      <c r="M31" s="102"/>
      <c r="N31" s="102"/>
      <c r="O31" s="102"/>
      <c r="P31" s="130"/>
      <c r="Q31" s="102"/>
      <c r="R31" s="196"/>
    </row>
    <row r="32" spans="1:18">
      <c r="A32" s="100"/>
      <c r="B32" s="22" t="str">
        <f ca="1">IF(AND(Owner&lt;3,UPB&lt;0.8*Value),IF(RateType="Fixed Rate","Fixed Rate - No Rate Change","ARM or Step Rate - New Rate is the Greater of"),"Market Interest Rate")</f>
        <v>Market Interest Rate</v>
      </c>
      <c r="C32" s="1"/>
      <c r="D32" s="1"/>
      <c r="E32" s="1"/>
      <c r="F32" s="109"/>
      <c r="G32" s="117"/>
      <c r="H32" s="129"/>
      <c r="I32" s="102"/>
      <c r="J32" s="151" t="str">
        <f>IF(rangeunknown,"(2) Is post-mod DTI between 25% &amp; 42%?","")</f>
        <v/>
      </c>
      <c r="K32" s="102"/>
      <c r="L32" s="102"/>
      <c r="M32" s="102"/>
      <c r="N32" s="102"/>
      <c r="O32" s="102"/>
      <c r="P32" s="112" t="str">
        <f ca="1">IF(OR(P29&gt;0.42, P29&lt;0.25),"NO","YES")</f>
        <v>YES</v>
      </c>
      <c r="Q32" s="102"/>
      <c r="R32" s="196"/>
    </row>
    <row r="33" spans="1:18">
      <c r="A33" s="100"/>
      <c r="B33" s="198" t="str">
        <f ca="1">IF(AND(Owner&lt;3,UPB&lt;0.8*Value,RateType="Fixed Rate"),"",IF(Owner=3,"Risk-Adjusted PMMS 30 YR FRM",IF(Owner=1,"Fannie Mae Mod Rate",IF(Owner=2,"Freddie Standard Mod Rate",0))))</f>
        <v>Risk-Adjusted PMMS 30 YR FRM</v>
      </c>
      <c r="C33" s="23"/>
      <c r="D33" s="1"/>
      <c r="E33" s="201">
        <f>Inputs!N38</f>
        <v>3.5000000000000003E-2</v>
      </c>
      <c r="F33" s="109"/>
      <c r="G33" s="117"/>
      <c r="H33" s="129"/>
      <c r="I33" s="102"/>
      <c r="J33" s="109" t="str">
        <f>IF(AND(Owner=3,NOT(rangeunknown)),"Servicer P&amp;I Reduction Threshold:","")</f>
        <v>Servicer P&amp;I Reduction Threshold:</v>
      </c>
      <c r="K33" s="102"/>
      <c r="L33" s="102"/>
      <c r="M33" s="102"/>
      <c r="N33" s="102"/>
      <c r="O33" s="348">
        <f>IF(AND(Owner=3,NOT(rangeunknown)),VLOOKUP(Servicer,DTI_Range,4),"")</f>
        <v>0</v>
      </c>
      <c r="P33" s="130"/>
      <c r="Q33" s="102"/>
      <c r="R33" s="196"/>
    </row>
    <row r="34" spans="1:18">
      <c r="A34" s="100"/>
      <c r="B34" s="146" t="str">
        <f ca="1">IF(AND(Owner&lt;3,UPB&lt;0.8*Value),"Current Rate","")</f>
        <v/>
      </c>
      <c r="C34" s="2"/>
      <c r="D34" s="2"/>
      <c r="E34" s="290" t="str">
        <f ca="1">IF(AND(Owner&lt;3,UPB&lt;0.8*Value),Inputs!N10,"")</f>
        <v/>
      </c>
      <c r="F34" s="109"/>
      <c r="G34" s="117"/>
      <c r="H34" s="129"/>
      <c r="I34" s="102"/>
      <c r="J34" s="151" t="str">
        <f>IF(rangeunknown,"(3) Is new P&amp;I less than old P&amp;I?",IF(Owner=3,"(2) Does P&amp;I reduction meet servicer's threshold?","(2) Is new P&amp;I less than old P&amp;I?"))</f>
        <v>(2) Does P&amp;I reduction meet servicer's threshold?</v>
      </c>
      <c r="K34" s="102"/>
      <c r="L34" s="102"/>
      <c r="M34" s="102"/>
      <c r="N34" s="102"/>
      <c r="O34" s="102"/>
      <c r="P34" s="103"/>
      <c r="Q34" s="193"/>
      <c r="R34" s="196"/>
    </row>
    <row r="35" spans="1:18">
      <c r="A35" s="100"/>
      <c r="B35" s="109" t="str">
        <f ca="1">IF(AND(Owner&lt;3,UPB&lt;0.8*Value,NOT(RateType="Fixed Rate")),"Result","")</f>
        <v/>
      </c>
      <c r="C35" s="113"/>
      <c r="D35" s="102"/>
      <c r="E35" s="295">
        <f ca="1">IF(AND(Owner&lt;3,UPB&lt;0.8*Value),IF(RateType="Fixed Rate",E34,IF(E33&gt;E34,E33,E34)),E33)</f>
        <v>3.5000000000000003E-2</v>
      </c>
      <c r="F35" s="109"/>
      <c r="G35" s="117"/>
      <c r="H35" s="129"/>
      <c r="I35" s="102"/>
      <c r="J35" s="102"/>
      <c r="K35" s="151" t="s">
        <v>52</v>
      </c>
      <c r="L35" s="151"/>
      <c r="M35" s="151"/>
      <c r="N35" s="102"/>
      <c r="O35" s="102"/>
      <c r="P35" s="108">
        <f ca="1">(E13-P24)/E13</f>
        <v>0.34982601480127901</v>
      </c>
      <c r="Q35" s="193"/>
      <c r="R35" s="196"/>
    </row>
    <row r="36" spans="1:18">
      <c r="A36" s="100"/>
      <c r="B36" s="102"/>
      <c r="C36" s="102"/>
      <c r="D36" s="102"/>
      <c r="E36" s="102"/>
      <c r="F36" s="109"/>
      <c r="G36" s="102"/>
      <c r="H36" s="129"/>
      <c r="I36" s="102"/>
      <c r="J36" s="102"/>
      <c r="K36" s="102" t="s">
        <v>16</v>
      </c>
      <c r="L36" s="102"/>
      <c r="M36" s="102"/>
      <c r="N36" s="102"/>
      <c r="O36" s="102"/>
      <c r="P36" s="112" t="str">
        <f ca="1">IF(OR(rangeunknown,Owner&lt;3),IF(P35&gt;=0,"YES","NO"),IF(P35&gt;=O33,"YES","NO"))</f>
        <v>YES</v>
      </c>
      <c r="Q36" s="103"/>
      <c r="R36" s="196"/>
    </row>
    <row r="37" spans="1:18">
      <c r="A37" s="100"/>
      <c r="B37" s="109"/>
      <c r="C37" s="109"/>
      <c r="D37" s="109"/>
      <c r="E37" s="131"/>
      <c r="F37" s="109"/>
      <c r="G37" s="102"/>
      <c r="H37" s="104"/>
      <c r="I37" s="102"/>
      <c r="J37" s="102"/>
      <c r="K37" s="102"/>
      <c r="L37" s="102"/>
      <c r="M37" s="102"/>
      <c r="N37" s="102"/>
      <c r="O37" s="102"/>
      <c r="P37" s="130"/>
      <c r="Q37" s="103"/>
      <c r="R37" s="196"/>
    </row>
    <row r="38" spans="1:18">
      <c r="A38" s="100"/>
      <c r="B38" s="109"/>
      <c r="C38" s="102"/>
      <c r="D38" s="102"/>
      <c r="E38" s="102"/>
      <c r="F38" s="102"/>
      <c r="G38" s="102"/>
      <c r="H38" s="104"/>
      <c r="I38" s="102"/>
      <c r="J38" s="102" t="str">
        <f>IF(rangeunknown,"(4) Is new P&amp;I at least 10% less than old P&amp;I?","")</f>
        <v/>
      </c>
      <c r="K38" s="102"/>
      <c r="L38" s="102"/>
      <c r="M38" s="102"/>
      <c r="N38" s="102"/>
      <c r="O38" s="102"/>
      <c r="P38" s="112" t="str">
        <f>IF(rangeunknown,IF(P35&gt;10%,"YES","NO"),"")</f>
        <v/>
      </c>
      <c r="Q38" s="103"/>
      <c r="R38" s="196"/>
    </row>
    <row r="39" spans="1:18" ht="16.5" thickBot="1">
      <c r="A39" s="385" t="s">
        <v>103</v>
      </c>
      <c r="B39" s="386"/>
      <c r="C39" s="386"/>
      <c r="D39" s="386"/>
      <c r="E39" s="386"/>
      <c r="F39" s="386"/>
      <c r="G39" s="387"/>
      <c r="H39" s="104"/>
      <c r="I39" s="102"/>
      <c r="J39" s="102"/>
      <c r="K39" s="102"/>
      <c r="L39" s="102"/>
      <c r="M39" s="102"/>
      <c r="N39" s="102"/>
      <c r="O39" s="102"/>
      <c r="P39" s="102"/>
      <c r="Q39" s="194"/>
      <c r="R39" s="196"/>
    </row>
    <row r="40" spans="1:18" ht="17.25" thickTop="1" thickBot="1">
      <c r="A40" s="100"/>
      <c r="B40" s="102"/>
      <c r="C40" s="102"/>
      <c r="D40" s="102"/>
      <c r="E40" s="132"/>
      <c r="F40" s="102"/>
      <c r="G40" s="102"/>
      <c r="H40" s="104"/>
      <c r="I40" s="102"/>
      <c r="J40" s="105" t="s">
        <v>54</v>
      </c>
      <c r="K40" s="102"/>
      <c r="L40" s="102"/>
      <c r="M40" s="102"/>
      <c r="N40" s="102"/>
      <c r="O40" s="102"/>
      <c r="P40" s="133" t="str">
        <f ca="1">VLOOKUP(1,Tier2_Outcome,2,FALSE)</f>
        <v>Yes</v>
      </c>
      <c r="Q40" s="103"/>
      <c r="R40" s="196"/>
    </row>
    <row r="41" spans="1:18" ht="15.75" customHeight="1" thickTop="1">
      <c r="A41" s="100"/>
      <c r="B41" s="109" t="s">
        <v>9</v>
      </c>
      <c r="C41" s="102"/>
      <c r="D41" s="102"/>
      <c r="E41" s="223">
        <v>480</v>
      </c>
      <c r="F41" s="151" t="s">
        <v>60</v>
      </c>
      <c r="G41" s="102"/>
      <c r="H41" s="104"/>
      <c r="I41" s="102"/>
      <c r="J41" s="113" t="str">
        <f ca="1">IF(P40="Maybe","Client's eligibility depends on servicer specific requirements","")</f>
        <v/>
      </c>
      <c r="K41" s="102"/>
      <c r="L41" s="102"/>
      <c r="M41" s="102"/>
      <c r="N41" s="102"/>
      <c r="O41" s="102"/>
      <c r="P41" s="102"/>
      <c r="Q41" s="102"/>
      <c r="R41" s="196"/>
    </row>
    <row r="42" spans="1:18">
      <c r="A42" s="100"/>
      <c r="B42" s="102"/>
      <c r="C42" s="102"/>
      <c r="D42" s="102"/>
      <c r="E42" s="102"/>
      <c r="F42" s="102"/>
      <c r="G42" s="102"/>
      <c r="H42" s="104"/>
      <c r="I42" s="102"/>
      <c r="J42" s="113"/>
      <c r="K42" s="102"/>
      <c r="L42" s="102"/>
      <c r="M42" s="102"/>
      <c r="N42" s="102"/>
      <c r="O42" s="102"/>
      <c r="P42" s="102"/>
      <c r="Q42" s="102"/>
      <c r="R42" s="196"/>
    </row>
    <row r="43" spans="1:18">
      <c r="A43" s="226" t="str">
        <f>VLOOKUP(Owner,Current,2)</f>
        <v>Current as of Supplemental Directive 15-08</v>
      </c>
      <c r="B43" s="134"/>
      <c r="C43" s="134"/>
      <c r="D43" s="134"/>
      <c r="E43" s="134"/>
      <c r="F43" s="134"/>
      <c r="G43" s="134"/>
      <c r="H43" s="104"/>
      <c r="I43" s="134"/>
      <c r="J43" s="134"/>
      <c r="K43" s="134"/>
      <c r="L43" s="134"/>
      <c r="M43" s="134"/>
      <c r="N43" s="134"/>
      <c r="O43" s="134"/>
      <c r="P43" s="134"/>
      <c r="Q43" s="195" t="s">
        <v>80</v>
      </c>
      <c r="R43" s="199"/>
    </row>
  </sheetData>
  <sheetProtection sheet="1" objects="1" scenarios="1"/>
  <customSheetViews>
    <customSheetView guid="{0367687A-2E80-4414-9E57-D64905950517}" showGridLines="0">
      <selection activeCell="D45" sqref="D45"/>
    </customSheetView>
  </customSheetViews>
  <mergeCells count="7">
    <mergeCell ref="A23:G23"/>
    <mergeCell ref="A30:G30"/>
    <mergeCell ref="A39:G39"/>
    <mergeCell ref="I3:R3"/>
    <mergeCell ref="A1:R1"/>
    <mergeCell ref="I22:R22"/>
    <mergeCell ref="D4:E4"/>
  </mergeCells>
  <phoneticPr fontId="2" type="noConversion"/>
  <conditionalFormatting sqref="P13:P15 P17:P18">
    <cfRule type="cellIs" dxfId="52" priority="20" operator="greaterThan">
      <formula>1000000</formula>
    </cfRule>
  </conditionalFormatting>
  <conditionalFormatting sqref="J11:P18">
    <cfRule type="expression" dxfId="51" priority="19">
      <formula>IF($P$9="No",1,0)</formula>
    </cfRule>
  </conditionalFormatting>
  <conditionalFormatting sqref="P32">
    <cfRule type="expression" dxfId="50" priority="18">
      <formula>IF(AND(Owner=3,OR(Servicer="Other",Servicer="")),0,1)</formula>
    </cfRule>
  </conditionalFormatting>
  <conditionalFormatting sqref="D4:E6">
    <cfRule type="expression" dxfId="49" priority="11">
      <formula>IF($B$2="RENTAL PROPERTIES AREN'T TIER 1 ELIGIBLE",1,0)</formula>
    </cfRule>
  </conditionalFormatting>
  <conditionalFormatting sqref="A1:H43 I28:I43 I1:I26 J1:R43">
    <cfRule type="expression" dxfId="48" priority="37" stopIfTrue="1">
      <formula>IF($Q$43="MFY Legal Services Inc.'s Proprietary Waterfall Worksheet",0,1)</formula>
    </cfRule>
  </conditionalFormatting>
  <conditionalFormatting sqref="J4:Q20">
    <cfRule type="expression" dxfId="47" priority="7">
      <formula>IF(AND(Owner&lt;3,UPB&lt;0.8*Value),1,0)</formula>
    </cfRule>
  </conditionalFormatting>
  <conditionalFormatting sqref="E34:E35">
    <cfRule type="expression" dxfId="46" priority="5">
      <formula>IF(AND(Owner&lt;3,UPB&lt;0.8*Value),1,0)</formula>
    </cfRule>
  </conditionalFormatting>
  <conditionalFormatting sqref="E33">
    <cfRule type="expression" dxfId="45" priority="4">
      <formula>IF(AND(Owner&lt;3,UPB&lt;0.8*Value,RateType="Fixed Rate"),1,0)</formula>
    </cfRule>
  </conditionalFormatting>
  <conditionalFormatting sqref="E35">
    <cfRule type="expression" dxfId="44" priority="3">
      <formula>IF(AND(Owner&lt;3,UPB&lt;0.8*Value,RateType="Fixed Rate"),1,0)</formula>
    </cfRule>
  </conditionalFormatting>
  <conditionalFormatting sqref="P38">
    <cfRule type="expression" dxfId="43" priority="1">
      <formula>IF(NOT(rangeunknown),1,0)</formula>
    </cfRule>
  </conditionalFormatting>
  <pageMargins left="0.75" right="0.75" top="1" bottom="1" header="0.5" footer="0.5"/>
  <pageSetup scale="82" orientation="landscape" r:id="rId1"/>
  <headerFooter alignWithMargins="0">
    <oddHeader>&amp;L&amp;14&amp;F&amp;10
Run on: 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B1:N33"/>
  <sheetViews>
    <sheetView showGridLines="0" zoomScaleNormal="100" zoomScaleSheetLayoutView="90" zoomScalePageLayoutView="60" workbookViewId="0">
      <selection activeCell="H24" sqref="H24:J24"/>
    </sheetView>
  </sheetViews>
  <sheetFormatPr defaultRowHeight="12.75"/>
  <cols>
    <col min="1" max="1" width="20.85546875" style="69" customWidth="1"/>
    <col min="2" max="2" width="3.7109375" style="69" customWidth="1"/>
    <col min="3" max="3" width="6" style="69" customWidth="1"/>
    <col min="4" max="4" width="2.7109375" style="69" bestFit="1" customWidth="1"/>
    <col min="5" max="5" width="6" style="69" customWidth="1"/>
    <col min="6" max="6" width="13.140625" style="69" customWidth="1"/>
    <col min="7" max="7" width="14.5703125" style="69" customWidth="1"/>
    <col min="8" max="8" width="6.140625" style="69" customWidth="1"/>
    <col min="9" max="9" width="4.7109375" style="69" customWidth="1"/>
    <col min="10" max="10" width="5.28515625" style="69" customWidth="1"/>
    <col min="11" max="11" width="19.5703125" style="69" customWidth="1"/>
    <col min="12" max="12" width="7.85546875" style="69" customWidth="1"/>
    <col min="13" max="13" width="15" style="69" customWidth="1"/>
    <col min="14" max="14" width="7.42578125" style="69" customWidth="1"/>
    <col min="15" max="16384" width="9.140625" style="69"/>
  </cols>
  <sheetData>
    <row r="1" spans="2:14" ht="40.5" customHeight="1">
      <c r="C1" s="154" t="str">
        <f ca="1">IF(N15="MFY's Proprietary Waterfall Worksheet for HAMP Tiers 1 and 2","","MFY's Proprietary Waterfall Worksheet for HAMP Tiers 1 and 2")</f>
        <v>MFY's Proprietary Waterfall Worksheet for HAMP Tiers 1 and 2</v>
      </c>
      <c r="D1" s="154"/>
      <c r="E1" s="154"/>
    </row>
    <row r="2" spans="2:14" ht="15.75" customHeight="1">
      <c r="C2" s="154"/>
      <c r="D2" s="154"/>
      <c r="E2" s="154"/>
      <c r="G2" s="398" t="s">
        <v>110</v>
      </c>
      <c r="H2" s="398"/>
      <c r="I2" s="398"/>
      <c r="J2" s="398"/>
      <c r="K2" s="398"/>
      <c r="L2" s="398"/>
      <c r="M2" s="398"/>
      <c r="N2" s="398"/>
    </row>
    <row r="3" spans="2:14" ht="24" customHeight="1">
      <c r="B3" s="400" t="s">
        <v>45</v>
      </c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2:14" ht="18">
      <c r="B4" s="240"/>
      <c r="C4" s="92"/>
      <c r="D4" s="89"/>
      <c r="E4" s="89"/>
      <c r="F4" s="90"/>
      <c r="G4" s="90"/>
      <c r="H4" s="90"/>
      <c r="I4" s="91"/>
      <c r="J4" s="77"/>
      <c r="K4" s="92"/>
      <c r="L4" s="92"/>
      <c r="M4" s="92"/>
      <c r="N4" s="87"/>
    </row>
    <row r="5" spans="2:14" ht="15">
      <c r="B5" s="232"/>
      <c r="C5" s="395" t="str">
        <f ca="1">IF(AND(TierOne,Inputs!F10="No"), "Tier 1 Terms","Not Tier 1 Eligible")</f>
        <v>Tier 1 Terms</v>
      </c>
      <c r="D5" s="395"/>
      <c r="E5" s="395"/>
      <c r="F5" s="395"/>
      <c r="G5" s="231"/>
      <c r="H5" s="231"/>
      <c r="I5" s="85"/>
      <c r="J5" s="78"/>
      <c r="K5" s="229" t="str">
        <f ca="1">VLOOKUP(1,Tier2_Outcome,4,FALSE)</f>
        <v>Tier 2 Terms</v>
      </c>
      <c r="L5" s="72"/>
      <c r="M5" s="231"/>
      <c r="N5" s="81"/>
    </row>
    <row r="6" spans="2:14" s="158" customFormat="1">
      <c r="B6" s="239"/>
      <c r="C6" s="399" t="str">
        <f ca="1">IF(TierOne,IF(Inputs!N12&gt;DATE(2009,1,1),"Possible Ineligibility Due to Origination Date",""),"Minimum Gross Monthly Income For:")</f>
        <v/>
      </c>
      <c r="D6" s="399"/>
      <c r="E6" s="399"/>
      <c r="F6" s="399"/>
      <c r="G6" s="399"/>
      <c r="H6" s="160"/>
      <c r="I6" s="161"/>
      <c r="J6" s="159"/>
      <c r="K6" s="230" t="str">
        <f ca="1">VLOOKUP(1,Tier2_Outcome,3,FALSE)</f>
        <v/>
      </c>
      <c r="L6" s="160"/>
      <c r="M6" s="160"/>
      <c r="N6" s="162"/>
    </row>
    <row r="7" spans="2:14">
      <c r="B7" s="232"/>
      <c r="C7" s="396" t="str">
        <f ca="1">IF(TierOne,"New P&amp;I Payment","Max Forbearance")</f>
        <v>New P&amp;I Payment</v>
      </c>
      <c r="D7" s="396"/>
      <c r="E7" s="396"/>
      <c r="F7" s="397"/>
      <c r="G7" s="76">
        <f ca="1">IF(TierOne,-PMT(G11/12,G12,G9-G10),SUM(-PMT(2%/12,480,'HAMP Tier 1'!E24-'HAMP Tier 1'!N28),Inputs!N16:N18)*100/31)</f>
        <v>1217.0066666666667</v>
      </c>
      <c r="H7" s="46"/>
      <c r="I7" s="85"/>
      <c r="J7" s="78"/>
      <c r="K7" s="287" t="str">
        <f ca="1">IF('Tier 2 - Standard'!P40="No",IF(OR(Owner&lt;3,rangeunknown),IF(DTI&gt;55%,"55% DTI","10% DTI"),IF(DTI&gt;'Tier 2 - Standard'!N27,"Servicer DTI Maximum:","Servicer DTI Minimum:")),"New P&amp;I Payment")</f>
        <v>New P&amp;I Payment</v>
      </c>
      <c r="L7" s="288" t="str">
        <f ca="1">IF(K7="Servicer DTI Maximum:",MaxDTI,IF(K7="Servicer DTI Minimum:",MinDTI,""))</f>
        <v/>
      </c>
      <c r="M7" s="80">
        <f ca="1">IF('Tier 2 - Standard'!P40="No",IF(OR(Owner&lt;3,rangeunknown),IF(DTI&gt;55%,'Tier 2 - Standard'!P25*100/55,'Tier 2 - Standard'!P25*100/10),IF(DTI&gt;MaxDTI,'Tier 2 - Standard'!P25*1/MaxDTI,'Tier 2 - Standard'!P25*1/MinDTI)),'Tier 2 - Standard'!P24)</f>
        <v>1559.2486170662212</v>
      </c>
      <c r="N7" s="81"/>
    </row>
    <row r="8" spans="2:14">
      <c r="B8" s="232"/>
      <c r="C8" s="396" t="str">
        <f ca="1">IF(TierOne,"New PITIA Payment","No Forbearance")</f>
        <v>New PITIA Payment</v>
      </c>
      <c r="D8" s="396"/>
      <c r="E8" s="396"/>
      <c r="F8" s="397"/>
      <c r="G8" s="76">
        <f ca="1">IF(TierOne,'Mod Terms'!G7+Inputs!N16+Inputs!N17+Inputs!N18,SUM(-PMT(2%/12,480,'HAMP Tier 1'!E24),Inputs!N16:N18)*100/31)</f>
        <v>1637.0066666666667</v>
      </c>
      <c r="H8" s="47"/>
      <c r="I8" s="85"/>
      <c r="J8" s="78"/>
      <c r="K8" s="231" t="str">
        <f ca="1">IF('Tier 2 - Standard'!P40="No",IF(rangeunknown,IF(DTI&gt;55%,"42% DTI","25% DTI"),""),"New PITIA Payment")</f>
        <v>New PITIA Payment</v>
      </c>
      <c r="L8" s="231"/>
      <c r="M8" s="80">
        <f ca="1">IF('Tier 2 - Standard'!P40="No",IF(DTI&gt;55%,'Tier 2 - Standard'!P25*100/42,'Tier 2 - Standard'!P25*100/25),SUM(M7,Inputs!N16:N18))</f>
        <v>1979.2486170662212</v>
      </c>
      <c r="N8" s="81"/>
    </row>
    <row r="9" spans="2:14">
      <c r="B9" s="232"/>
      <c r="C9" s="396" t="str">
        <f ca="1">IF(TierOne,"New Principal Balance","No Term Extension")</f>
        <v>New Principal Balance</v>
      </c>
      <c r="D9" s="396"/>
      <c r="E9" s="396"/>
      <c r="F9" s="397"/>
      <c r="G9" s="76">
        <f ca="1">IF(TierOne,'HAMP Tier 1'!E24,SUM(-PMT(2%/12,'HAMP Tier 1'!E18,'HAMP Tier 1'!E24),Inputs!N16:N18)*100/31)</f>
        <v>458729.62129127746</v>
      </c>
      <c r="H9" s="84"/>
      <c r="I9" s="85"/>
      <c r="J9" s="78"/>
      <c r="K9" s="231" t="str">
        <f ca="1">IF('Tier 2 - Standard'!P40="No","","New Principal Balance")</f>
        <v>New Principal Balance</v>
      </c>
      <c r="L9" s="231"/>
      <c r="M9" s="80">
        <f ca="1">IF('Tier 2 - Standard'!P40="No","",'Tier 2 - Standard'!E27)</f>
        <v>458729.62129127746</v>
      </c>
      <c r="N9" s="81"/>
    </row>
    <row r="10" spans="2:14">
      <c r="B10" s="232"/>
      <c r="C10" s="396" t="str">
        <f ca="1">IF(TierOne,"Principal Forborn","")</f>
        <v>Principal Forborn</v>
      </c>
      <c r="D10" s="396"/>
      <c r="E10" s="396"/>
      <c r="F10" s="396"/>
      <c r="G10" s="76">
        <f ca="1">IF(TierOne,IF('HAMP Tier 1'!N29&lt;G9,'HAMP Tier 1'!N29,0),"")</f>
        <v>56845.992774409475</v>
      </c>
      <c r="H10" s="84"/>
      <c r="I10" s="85"/>
      <c r="J10" s="78"/>
      <c r="K10" s="231" t="str">
        <f ca="1">IF('Tier 2 - Standard'!P40="No","","Principal Forborn")</f>
        <v>Principal Forborn</v>
      </c>
      <c r="L10" s="231"/>
      <c r="M10" s="80">
        <f ca="1">IF('Tier 2 - Standard'!P40="No","",IF('Tier 2 - Standard'!P18&lt;M9,'Tier 2 - Standard'!P18,0))</f>
        <v>56229.621291277523</v>
      </c>
      <c r="N10" s="81"/>
    </row>
    <row r="11" spans="2:14">
      <c r="B11" s="232"/>
      <c r="C11" s="396" t="str">
        <f ca="1">IF(TierOne,"New Initial Interest Rate","")</f>
        <v>New Initial Interest Rate</v>
      </c>
      <c r="D11" s="396"/>
      <c r="E11" s="396"/>
      <c r="F11" s="396"/>
      <c r="G11" s="74">
        <f ca="1">IF(TierOne,IF('HAMP Tier 1'!E38&gt;2%,'HAMP Tier 1'!E38,2%),"")</f>
        <v>0.02</v>
      </c>
      <c r="H11" s="84"/>
      <c r="I11" s="85"/>
      <c r="J11" s="78"/>
      <c r="K11" s="231" t="str">
        <f ca="1">IF('Tier 2 - Standard'!P40="No","","New Interest Rate")</f>
        <v>New Interest Rate</v>
      </c>
      <c r="L11" s="231"/>
      <c r="M11" s="173">
        <f ca="1">IF('Tier 2 - Standard'!P40="No","",'Tier 2 - Standard'!E35)</f>
        <v>3.5000000000000003E-2</v>
      </c>
      <c r="N11" s="81"/>
    </row>
    <row r="12" spans="2:14">
      <c r="B12" s="232"/>
      <c r="C12" s="396" t="str">
        <f ca="1">IF(TierOne,"New Term","")</f>
        <v>New Term</v>
      </c>
      <c r="D12" s="396"/>
      <c r="E12" s="396"/>
      <c r="F12" s="396"/>
      <c r="G12" s="75">
        <f ca="1">IF(TierOne,IF('HAMP Tier 1'!N13&lt;481,'HAMP Tier 1'!N13,IF('HAMP Tier 1'!E38&gt;=2%,'HAMP Tier 1'!E18,480)),SUM(-PMT(2%/12,480,'HAMP Tier 1'!E24),Inputs!N16:N18)*100/31)</f>
        <v>480</v>
      </c>
      <c r="H12" s="84"/>
      <c r="I12" s="85"/>
      <c r="J12" s="78"/>
      <c r="K12" s="231" t="str">
        <f ca="1">IF('Tier 2 - Standard'!P40="No","","New Term")</f>
        <v>New Term</v>
      </c>
      <c r="L12" s="231"/>
      <c r="M12" s="263">
        <f ca="1">IF('Tier 2 - Standard'!P40="No","",480)</f>
        <v>480</v>
      </c>
      <c r="N12" s="81"/>
    </row>
    <row r="13" spans="2:14" ht="14.25">
      <c r="B13" s="232"/>
      <c r="C13" s="410" t="str">
        <f ca="1">IF(NOT(TierOne),"Actual GMI","")</f>
        <v/>
      </c>
      <c r="D13" s="410"/>
      <c r="E13" s="410"/>
      <c r="F13" s="410"/>
      <c r="G13" s="157" t="str">
        <f ca="1">IF(NOT(TierOne),GMI,"")</f>
        <v/>
      </c>
      <c r="H13" s="84"/>
      <c r="I13" s="85"/>
      <c r="J13" s="78"/>
      <c r="K13" s="156" t="str">
        <f ca="1">IF(AND(TierTwo="No",PIREDUCTION="Yes"),"Actual GMI","")</f>
        <v/>
      </c>
      <c r="L13" s="45"/>
      <c r="M13" s="177" t="str">
        <f ca="1">IF(AND(TierTwo="No",PIREDUCTION="Yes"),GMI,"")</f>
        <v/>
      </c>
      <c r="N13" s="81"/>
    </row>
    <row r="14" spans="2:14" ht="14.25" customHeight="1">
      <c r="B14" s="232"/>
      <c r="C14" s="262"/>
      <c r="D14" s="262"/>
      <c r="E14" s="262"/>
      <c r="F14" s="262"/>
      <c r="G14" s="264"/>
      <c r="H14" s="84"/>
      <c r="I14" s="85"/>
      <c r="J14" s="402" t="str">
        <f ca="1">IF(AND(TierTwo="Yes",Owner&lt;3,PMUPB&lt;0.8*Value,TODAY&lt;DATE(2014,4,1)),"Note: Eligible under GSE rules in effect no later than 4/1/2014","")</f>
        <v/>
      </c>
      <c r="K14" s="403"/>
      <c r="L14" s="403"/>
      <c r="M14" s="403"/>
      <c r="N14" s="404"/>
    </row>
    <row r="15" spans="2:14">
      <c r="B15" s="226" t="str">
        <f ca="1">IF(AND(TierOne,Inputs!F10="No"),"",VLOOKUP(Owner,Current,2))</f>
        <v/>
      </c>
      <c r="C15" s="241"/>
      <c r="D15" s="228"/>
      <c r="E15" s="228"/>
      <c r="F15" s="88"/>
      <c r="G15" s="88"/>
      <c r="H15" s="88"/>
      <c r="I15" s="85"/>
      <c r="J15" s="178"/>
      <c r="K15" s="70"/>
      <c r="L15" s="70"/>
      <c r="M15" s="70"/>
      <c r="N15" s="225" t="str">
        <f ca="1">IF(AND(TierOne,Inputs!F10="No"),"","MFY Legal Services Inc.'s Proprietary Waterfall Worksheet")</f>
        <v/>
      </c>
    </row>
    <row r="16" spans="2:14">
      <c r="B16" s="232"/>
      <c r="C16" s="89"/>
      <c r="D16" s="79"/>
      <c r="E16" s="79"/>
      <c r="F16" s="231"/>
      <c r="G16" s="231"/>
      <c r="H16" s="231"/>
      <c r="I16" s="86"/>
      <c r="J16" s="79"/>
      <c r="K16" s="44"/>
      <c r="L16" s="44"/>
      <c r="M16" s="44"/>
      <c r="N16" s="186"/>
    </row>
    <row r="17" spans="2:14" ht="15">
      <c r="B17" s="232"/>
      <c r="C17" s="229" t="str">
        <f ca="1">IF(AND(TierOne,Inputs!F10="No"),"Tier 1 Schedule","")</f>
        <v>Tier 1 Schedule</v>
      </c>
      <c r="D17" s="44"/>
      <c r="F17" s="231"/>
      <c r="G17" s="231"/>
      <c r="H17" s="231"/>
      <c r="I17" s="231"/>
      <c r="J17" s="79"/>
      <c r="K17" s="44"/>
      <c r="L17" s="44"/>
      <c r="M17" s="44"/>
      <c r="N17" s="186"/>
    </row>
    <row r="18" spans="2:14">
      <c r="B18" s="232"/>
      <c r="C18" s="260" t="str">
        <f ca="1">IF(AND(TierOne,Inputs!F10="No"),"Assumes current PMMS Rate still effective on Modification Effective Date","")</f>
        <v>Assumes current PMMS Rate still effective on Modification Effective Date</v>
      </c>
      <c r="D18" s="260"/>
      <c r="E18" s="44"/>
      <c r="F18" s="44"/>
      <c r="G18" s="44"/>
      <c r="H18" s="44"/>
      <c r="I18" s="44"/>
      <c r="J18" s="79"/>
      <c r="K18" s="44"/>
      <c r="L18" s="44"/>
      <c r="M18" s="44"/>
      <c r="N18" s="186"/>
    </row>
    <row r="19" spans="2:14">
      <c r="B19" s="232"/>
      <c r="C19" s="260"/>
      <c r="D19" s="260"/>
      <c r="E19" s="44"/>
      <c r="F19" s="44"/>
      <c r="G19" s="44"/>
      <c r="H19" s="44"/>
      <c r="I19" s="44"/>
      <c r="J19" s="79"/>
      <c r="K19" s="44"/>
      <c r="L19" s="44"/>
      <c r="M19" s="44"/>
      <c r="N19" s="186"/>
    </row>
    <row r="20" spans="2:14">
      <c r="B20" s="232"/>
      <c r="C20" s="407" t="s">
        <v>73</v>
      </c>
      <c r="D20" s="408"/>
      <c r="E20" s="409"/>
      <c r="F20" s="257" t="s">
        <v>36</v>
      </c>
      <c r="G20" s="258" t="s">
        <v>74</v>
      </c>
      <c r="H20" s="401" t="s">
        <v>76</v>
      </c>
      <c r="I20" s="401"/>
      <c r="J20" s="401"/>
      <c r="K20" s="259" t="s">
        <v>77</v>
      </c>
      <c r="L20" s="233"/>
      <c r="M20" s="233" t="s">
        <v>75</v>
      </c>
      <c r="N20" s="234"/>
    </row>
    <row r="21" spans="2:14">
      <c r="B21" s="232"/>
      <c r="C21" s="246">
        <v>1</v>
      </c>
      <c r="D21" s="247" t="str">
        <f>" - "</f>
        <v xml:space="preserve"> - </v>
      </c>
      <c r="E21" s="248">
        <f ca="1">IF(numsteps&gt;1,5,ROUNDUP($G$12/12,0))</f>
        <v>5</v>
      </c>
      <c r="F21" s="249">
        <f ca="1">G11</f>
        <v>0.02</v>
      </c>
      <c r="G21" s="250">
        <f ca="1">G7</f>
        <v>1217.0066666666667</v>
      </c>
      <c r="H21" s="406">
        <f ca="1">IF(numsteps&gt;=L21,G21++Inputs!$N$16+Inputs!$N$17+Inputs!$N$18,"")</f>
        <v>1637.0066666666667</v>
      </c>
      <c r="I21" s="406"/>
      <c r="J21" s="406"/>
      <c r="K21" s="251">
        <f ca="1">IF(numsteps=L21,G12,60)</f>
        <v>60</v>
      </c>
      <c r="L21" s="233">
        <v>1</v>
      </c>
      <c r="M21" s="235">
        <f ca="1">IF(numsteps&gt;0,$G$9-$G$10,"")</f>
        <v>401883.62851686799</v>
      </c>
      <c r="N21" s="234"/>
    </row>
    <row r="22" spans="2:14">
      <c r="B22" s="232"/>
      <c r="C22" s="252" t="str">
        <f t="shared" ref="C22:C27" ca="1" si="0">IF(numsteps=L22,L22+4,"")</f>
        <v/>
      </c>
      <c r="D22" s="253">
        <f t="shared" ref="D22:D27" ca="1" si="1">IF(numsteps=L22," - ",IF(numsteps&lt;L22,"",L22+4))</f>
        <v>6</v>
      </c>
      <c r="E22" s="254" t="str">
        <f t="shared" ref="E22:E27" ca="1" si="2">IF(numsteps=L22,ROUNDUP($G$12/12,0),"")</f>
        <v/>
      </c>
      <c r="F22" s="255">
        <f ca="1">IF(numsteps=L22,PMMS,IF(numsteps&lt;L22,"",F21+1%))</f>
        <v>0.03</v>
      </c>
      <c r="G22" s="256">
        <f ca="1">IF(numsteps&gt;=L22,-PMT(F22/12,$G$12-60,M22),"")</f>
        <v>1413.8783155421254</v>
      </c>
      <c r="H22" s="406">
        <f ca="1">IF(numsteps&gt;=L22,G22++Inputs!$N$16+Inputs!$N$17+Inputs!$N$18,"")</f>
        <v>1833.8783155421254</v>
      </c>
      <c r="I22" s="406"/>
      <c r="J22" s="406"/>
      <c r="K22" s="251">
        <f t="shared" ref="K22:K27" ca="1" si="3">IF(numsteps&gt;L22,12,IF(numsteps=L22,$G$12-60-12*(L22-2),""))</f>
        <v>12</v>
      </c>
      <c r="L22" s="233">
        <f>1+L21</f>
        <v>2</v>
      </c>
      <c r="M22" s="236">
        <f ca="1">IF(numsteps&gt;=L22,M21+CUMPRINC(F21/12,$G$12,M21,1,60,0),"")</f>
        <v>367384.07632322056</v>
      </c>
      <c r="N22" s="234"/>
    </row>
    <row r="23" spans="2:14">
      <c r="B23" s="232"/>
      <c r="C23" s="252">
        <f t="shared" ca="1" si="0"/>
        <v>7</v>
      </c>
      <c r="D23" s="253" t="str">
        <f t="shared" ca="1" si="1"/>
        <v xml:space="preserve"> - </v>
      </c>
      <c r="E23" s="254">
        <f t="shared" ca="1" si="2"/>
        <v>40</v>
      </c>
      <c r="F23" s="255">
        <f ca="1">IF(numsteps=L23,PMMS,IF(numsteps&lt;L23,"",F22+1%))</f>
        <v>0.04</v>
      </c>
      <c r="G23" s="256">
        <f ca="1">IF(numsteps&gt;=L23,-PMT(F23/12,$G$12-60-12*(L23-2),M23),"")</f>
        <v>1621.6882904540339</v>
      </c>
      <c r="H23" s="406">
        <f ca="1">IF(numsteps&gt;=L23,G23++Inputs!$N$16+Inputs!$N$17+Inputs!$N$18,"")</f>
        <v>2041.6882904540339</v>
      </c>
      <c r="I23" s="406"/>
      <c r="J23" s="406"/>
      <c r="K23" s="251">
        <f t="shared" ca="1" si="3"/>
        <v>408</v>
      </c>
      <c r="L23" s="233">
        <f t="shared" ref="L23:L27" si="4">1+L22</f>
        <v>3</v>
      </c>
      <c r="M23" s="236">
        <f ca="1">IF(numsteps&gt;=L23,M22+CUMPRINC(F22/12,$G$12-60-12*(L22-2),M22,1,12,0),"")</f>
        <v>361356.62978878769</v>
      </c>
      <c r="N23" s="234"/>
    </row>
    <row r="24" spans="2:14">
      <c r="B24" s="232"/>
      <c r="C24" s="252" t="str">
        <f t="shared" ca="1" si="0"/>
        <v/>
      </c>
      <c r="D24" s="253" t="str">
        <f t="shared" ca="1" si="1"/>
        <v/>
      </c>
      <c r="E24" s="254" t="str">
        <f t="shared" ca="1" si="2"/>
        <v/>
      </c>
      <c r="F24" s="255" t="str">
        <f t="shared" ref="F24:F27" ca="1" si="5">IF(numsteps=L24,ROUND(PMMS*8,2)/8,IF(numsteps&lt;L24,"",F23+1%))</f>
        <v/>
      </c>
      <c r="G24" s="256" t="str">
        <f ca="1">IF(numsteps&gt;=L24,-PMT(F24/12,$G$12-60-12*(L24-2),M24),"")</f>
        <v/>
      </c>
      <c r="H24" s="406" t="str">
        <f ca="1">IF(numsteps&gt;=L24,G24++Inputs!$N$16+Inputs!$N$17+Inputs!$N$18,"")</f>
        <v/>
      </c>
      <c r="I24" s="406"/>
      <c r="J24" s="406"/>
      <c r="K24" s="251" t="str">
        <f t="shared" ca="1" si="3"/>
        <v/>
      </c>
      <c r="L24" s="233">
        <f t="shared" si="4"/>
        <v>4</v>
      </c>
      <c r="M24" s="236" t="str">
        <f ca="1">IF(numsteps&gt;=L24,M23+CUMPRINC(F23/12,$G$12-60-12*(L23-2),M23,1,12,0),"")</f>
        <v/>
      </c>
      <c r="N24" s="234"/>
    </row>
    <row r="25" spans="2:14">
      <c r="B25" s="232"/>
      <c r="C25" s="252" t="str">
        <f t="shared" ca="1" si="0"/>
        <v/>
      </c>
      <c r="D25" s="253" t="str">
        <f t="shared" ca="1" si="1"/>
        <v/>
      </c>
      <c r="E25" s="254" t="str">
        <f t="shared" ca="1" si="2"/>
        <v/>
      </c>
      <c r="F25" s="255" t="str">
        <f t="shared" ca="1" si="5"/>
        <v/>
      </c>
      <c r="G25" s="256" t="str">
        <f ca="1">IF(numsteps&gt;=L25,-PMT(F25/12,$G$12-60,($G$9-$G$10)+CUMPRINC(F24/12,$G$12,($G$9-$G$10),1,60,0)),"")</f>
        <v/>
      </c>
      <c r="H25" s="406" t="str">
        <f ca="1">IF(numsteps&gt;=L25,G25++Inputs!$N$16+Inputs!$N$17+Inputs!$N$18,"")</f>
        <v/>
      </c>
      <c r="I25" s="406"/>
      <c r="J25" s="406"/>
      <c r="K25" s="251" t="str">
        <f t="shared" ca="1" si="3"/>
        <v/>
      </c>
      <c r="L25" s="233">
        <f t="shared" si="4"/>
        <v>5</v>
      </c>
      <c r="M25" s="236" t="str">
        <f ca="1">IF(numsteps&gt;=L25,M24+CUMPRINC(F24/12,$G$12-60-12*(L24-2),M24,1,12,0),"")</f>
        <v/>
      </c>
      <c r="N25" s="234"/>
    </row>
    <row r="26" spans="2:14">
      <c r="B26" s="232"/>
      <c r="C26" s="252" t="str">
        <f t="shared" ca="1" si="0"/>
        <v/>
      </c>
      <c r="D26" s="253" t="str">
        <f t="shared" ca="1" si="1"/>
        <v/>
      </c>
      <c r="E26" s="254" t="str">
        <f t="shared" ca="1" si="2"/>
        <v/>
      </c>
      <c r="F26" s="255" t="str">
        <f t="shared" ca="1" si="5"/>
        <v/>
      </c>
      <c r="G26" s="256" t="str">
        <f ca="1">IF(numsteps&gt;=L26,-PMT(F26/12,$G$12-60,($G$9-$G$10)+CUMPRINC(F25/12,$G$12,($G$9-$G$10),1,60,0)),"")</f>
        <v/>
      </c>
      <c r="H26" s="406" t="str">
        <f ca="1">IF(numsteps&gt;=L26,G26++Inputs!$N$16+Inputs!$N$17+Inputs!$N$18,"")</f>
        <v/>
      </c>
      <c r="I26" s="406"/>
      <c r="J26" s="406"/>
      <c r="K26" s="251" t="str">
        <f t="shared" ca="1" si="3"/>
        <v/>
      </c>
      <c r="L26" s="233">
        <f t="shared" si="4"/>
        <v>6</v>
      </c>
      <c r="M26" s="236" t="str">
        <f ca="1">IF(numsteps&gt;=L26,M25+CUMPRINC(F25/12,$G$12-60-12*(L25-2),M25,1,12,0),"")</f>
        <v/>
      </c>
      <c r="N26" s="234"/>
    </row>
    <row r="27" spans="2:14">
      <c r="B27" s="232"/>
      <c r="C27" s="252" t="str">
        <f t="shared" ca="1" si="0"/>
        <v/>
      </c>
      <c r="D27" s="253" t="str">
        <f t="shared" ca="1" si="1"/>
        <v/>
      </c>
      <c r="E27" s="254" t="str">
        <f t="shared" ca="1" si="2"/>
        <v/>
      </c>
      <c r="F27" s="255" t="str">
        <f t="shared" ca="1" si="5"/>
        <v/>
      </c>
      <c r="G27" s="256" t="str">
        <f ca="1">IF(numsteps&gt;=L27,-PMT(F27/12,$G$12-60,($G$9-$G$10)+CUMPRINC(F26/12,$G$12,($G$9-$G$10),1,60,0)),"")</f>
        <v/>
      </c>
      <c r="H27" s="406" t="str">
        <f ca="1">IF(numsteps&gt;=L27,G27++Inputs!$N$16+Inputs!$N$17+Inputs!$N$18,"")</f>
        <v/>
      </c>
      <c r="I27" s="406"/>
      <c r="J27" s="406"/>
      <c r="K27" s="251" t="str">
        <f t="shared" ca="1" si="3"/>
        <v/>
      </c>
      <c r="L27" s="233">
        <f t="shared" si="4"/>
        <v>7</v>
      </c>
      <c r="M27" s="236" t="str">
        <f ca="1">IF(numsteps&gt;=L27,M26+CUMPRINC(F26/12,$G$12-60-12*(L26-2),M26,1,12,0),"")</f>
        <v/>
      </c>
      <c r="N27" s="234"/>
    </row>
    <row r="28" spans="2:14">
      <c r="B28" s="232"/>
      <c r="C28" s="1"/>
      <c r="D28" s="242"/>
      <c r="E28" s="243"/>
      <c r="F28" s="164"/>
      <c r="G28" s="244"/>
      <c r="H28" s="245"/>
      <c r="I28" s="245"/>
      <c r="J28" s="245"/>
      <c r="K28" s="1"/>
      <c r="L28" s="233"/>
      <c r="M28" s="236"/>
      <c r="N28" s="234"/>
    </row>
    <row r="29" spans="2:14">
      <c r="B29" s="226" t="str">
        <f>VLOOKUP(Owner,Current,2)</f>
        <v>Current as of Supplemental Directive 15-08</v>
      </c>
      <c r="C29" s="20"/>
      <c r="D29" s="20"/>
      <c r="E29" s="20"/>
      <c r="F29" s="237"/>
      <c r="G29" s="238"/>
      <c r="H29" s="20"/>
      <c r="I29" s="20"/>
      <c r="J29" s="20"/>
      <c r="K29" s="20"/>
      <c r="L29" s="20"/>
      <c r="M29" s="20"/>
      <c r="N29" s="261" t="str">
        <f ca="1">IF(AND(TierOne,Inputs!F10="No"),"MFY Legal Services Inc.'s Proprietary Waterfall Worksheet","")</f>
        <v>MFY Legal Services Inc.'s Proprietary Waterfall Worksheet</v>
      </c>
    </row>
    <row r="30" spans="2:14">
      <c r="K30" s="144"/>
    </row>
    <row r="31" spans="2:14">
      <c r="G31" s="405"/>
      <c r="H31" s="405"/>
      <c r="I31" s="405"/>
      <c r="J31" s="405"/>
      <c r="K31" s="405"/>
      <c r="L31" s="405"/>
      <c r="M31" s="405"/>
      <c r="N31" s="405"/>
    </row>
    <row r="33" spans="11:11">
      <c r="K33" s="148"/>
    </row>
  </sheetData>
  <sheetProtection sheet="1" objects="1" scenarios="1"/>
  <customSheetViews>
    <customSheetView guid="{0367687A-2E80-4414-9E57-D64905950517}" showPageBreaks="1" showGridLines="0">
      <selection activeCell="M28" sqref="M28"/>
    </customSheetView>
  </customSheetViews>
  <mergeCells count="22">
    <mergeCell ref="H20:J20"/>
    <mergeCell ref="C10:F10"/>
    <mergeCell ref="C11:F11"/>
    <mergeCell ref="J14:N14"/>
    <mergeCell ref="G31:N31"/>
    <mergeCell ref="H27:J27"/>
    <mergeCell ref="H21:J21"/>
    <mergeCell ref="H22:J22"/>
    <mergeCell ref="H23:J23"/>
    <mergeCell ref="H24:J24"/>
    <mergeCell ref="H25:J25"/>
    <mergeCell ref="H26:J26"/>
    <mergeCell ref="C20:E20"/>
    <mergeCell ref="C12:F12"/>
    <mergeCell ref="C13:F13"/>
    <mergeCell ref="C5:F5"/>
    <mergeCell ref="C7:F7"/>
    <mergeCell ref="C8:F8"/>
    <mergeCell ref="C9:F9"/>
    <mergeCell ref="G2:N2"/>
    <mergeCell ref="C6:G6"/>
    <mergeCell ref="B3:N3"/>
  </mergeCells>
  <conditionalFormatting sqref="M10">
    <cfRule type="expression" dxfId="42" priority="37">
      <formula>IF(TierTwo="No",1,0)</formula>
    </cfRule>
  </conditionalFormatting>
  <conditionalFormatting sqref="G11">
    <cfRule type="expression" dxfId="41" priority="34">
      <formula>IF(TierOne,0,1)</formula>
    </cfRule>
  </conditionalFormatting>
  <conditionalFormatting sqref="C6:G14">
    <cfRule type="expression" dxfId="40" priority="14" stopIfTrue="1">
      <formula>IF(OR(Rental="Yes", PIFAIL),1,0)</formula>
    </cfRule>
  </conditionalFormatting>
  <conditionalFormatting sqref="K6:M13">
    <cfRule type="expression" dxfId="39" priority="6" stopIfTrue="1">
      <formula>IF(PIREDUCTION="No",1,0)</formula>
    </cfRule>
  </conditionalFormatting>
  <conditionalFormatting sqref="M10:M12">
    <cfRule type="expression" dxfId="38" priority="33">
      <formula>IF(TierTwo="No",1,0)</formula>
    </cfRule>
  </conditionalFormatting>
  <conditionalFormatting sqref="G13">
    <cfRule type="expression" dxfId="37" priority="22">
      <formula>IF(TierOne,1,0)</formula>
    </cfRule>
  </conditionalFormatting>
  <conditionalFormatting sqref="M13">
    <cfRule type="cellIs" dxfId="36" priority="21" operator="equal">
      <formula>""</formula>
    </cfRule>
  </conditionalFormatting>
  <conditionalFormatting sqref="G10">
    <cfRule type="expression" dxfId="35" priority="15">
      <formula>IF(TierOne,0,1)</formula>
    </cfRule>
  </conditionalFormatting>
  <conditionalFormatting sqref="G12">
    <cfRule type="expression" dxfId="34" priority="25">
      <formula>IF(TierOne,0,1)</formula>
    </cfRule>
  </conditionalFormatting>
  <conditionalFormatting sqref="M9">
    <cfRule type="expression" dxfId="33" priority="23">
      <formula>IF(AND(TierTwo="no",NOT(rangeunknown)),1,0)</formula>
    </cfRule>
    <cfRule type="expression" dxfId="32" priority="24">
      <formula>IF(AND(TierTwo="No",rangeunknown),1,0)</formula>
    </cfRule>
  </conditionalFormatting>
  <conditionalFormatting sqref="B16:N29">
    <cfRule type="expression" dxfId="31" priority="7" stopIfTrue="1">
      <formula>IF(OR(Rental="yes",TierOne=0),1,0)</formula>
    </cfRule>
  </conditionalFormatting>
  <conditionalFormatting sqref="C21:K27">
    <cfRule type="expression" dxfId="30" priority="10">
      <formula>IF(numsteps&lt;$L21,1,0)</formula>
    </cfRule>
  </conditionalFormatting>
  <conditionalFormatting sqref="C21:K21">
    <cfRule type="expression" dxfId="29" priority="12">
      <formula>IF(numsteps=$L21,1,0)</formula>
    </cfRule>
  </conditionalFormatting>
  <conditionalFormatting sqref="B15:N15">
    <cfRule type="expression" dxfId="28" priority="38">
      <formula>IF(OR(Rental="yes",TierOne=0),1,0)</formula>
    </cfRule>
  </conditionalFormatting>
  <conditionalFormatting sqref="J15:N29 J3:N13 A1:F29 G1:N1 G3:I29">
    <cfRule type="expression" dxfId="27" priority="2" stopIfTrue="1">
      <formula>IF(OR($N$15="MFY Legal Services Inc.'s Proprietary Waterfall Worksheet", $N$29="MFY Legal Services Inc.'s Proprietary Waterfall Worksheet", $N$29="MFY Legal Services Inc.'s Proprietary Waterfall Worksheet"),0,1)</formula>
    </cfRule>
  </conditionalFormatting>
  <conditionalFormatting sqref="M8">
    <cfRule type="expression" dxfId="26" priority="13">
      <formula>IF(AND(TierTwo="no",NOT(rangeunknown)),1,0)</formula>
    </cfRule>
  </conditionalFormatting>
  <hyperlinks>
    <hyperlink ref="G2" r:id="rId1"/>
  </hyperlinks>
  <pageMargins left="0.75" right="0.75" top="1" bottom="1" header="0.5" footer="0.5"/>
  <pageSetup scale="80" orientation="landscape" r:id="rId2"/>
  <headerFooter>
    <oddHeader xml:space="preserve">&amp;L&amp;14&amp;F
&amp;10Run on: &amp;D&amp;14
</oddHeader>
  </headerFooter>
  <ignoredErrors>
    <ignoredError sqref="G7 G21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62"/>
  <sheetViews>
    <sheetView workbookViewId="0">
      <selection activeCell="G22" sqref="G22"/>
    </sheetView>
  </sheetViews>
  <sheetFormatPr defaultRowHeight="12.75"/>
  <cols>
    <col min="1" max="1" width="16.7109375" customWidth="1"/>
    <col min="4" max="4" width="24.42578125" customWidth="1"/>
    <col min="5" max="5" width="12.85546875" customWidth="1"/>
    <col min="6" max="6" width="14" customWidth="1"/>
    <col min="7" max="7" width="17.5703125" bestFit="1" customWidth="1"/>
    <col min="8" max="8" width="21.42578125" customWidth="1"/>
    <col min="9" max="9" width="21" customWidth="1"/>
    <col min="10" max="10" width="17.7109375" customWidth="1"/>
    <col min="11" max="11" width="19.42578125" customWidth="1"/>
    <col min="12" max="12" width="13.85546875" customWidth="1"/>
    <col min="13" max="13" width="23.7109375" customWidth="1"/>
    <col min="14" max="14" width="14.140625" customWidth="1"/>
  </cols>
  <sheetData>
    <row r="1" spans="1:14">
      <c r="A1" s="34"/>
      <c r="D1" s="332" t="s">
        <v>192</v>
      </c>
      <c r="E1" s="363" t="s">
        <v>82</v>
      </c>
      <c r="F1" s="363" t="s">
        <v>83</v>
      </c>
      <c r="G1" s="333" t="s">
        <v>171</v>
      </c>
      <c r="I1" s="140" t="s">
        <v>109</v>
      </c>
    </row>
    <row r="2" spans="1:14">
      <c r="A2" s="34"/>
      <c r="D2" s="12" t="s">
        <v>84</v>
      </c>
      <c r="E2" s="354">
        <v>0.25</v>
      </c>
      <c r="F2" s="354">
        <v>0.42</v>
      </c>
      <c r="G2" s="361">
        <v>0.1</v>
      </c>
      <c r="I2" s="7">
        <v>1</v>
      </c>
      <c r="J2" s="358" t="s">
        <v>185</v>
      </c>
      <c r="K2" s="350"/>
    </row>
    <row r="3" spans="1:14">
      <c r="A3" s="43"/>
      <c r="D3" s="12" t="s">
        <v>97</v>
      </c>
      <c r="E3" s="354">
        <v>0.1</v>
      </c>
      <c r="F3" s="354">
        <v>0.55000000000000004</v>
      </c>
      <c r="G3" s="361">
        <v>0</v>
      </c>
      <c r="I3" s="12">
        <v>2</v>
      </c>
      <c r="J3" s="146" t="s">
        <v>186</v>
      </c>
      <c r="K3" s="234"/>
    </row>
    <row r="4" spans="1:14">
      <c r="A4">
        <f ca="1">IF(AND(OR('HAMP Tier 1'!E38&gt;=2%,'HAMP Tier 1'!N13&lt;481,'HAMP Tier 1'!N31="YES"),Inputs!F10="No",'HAMP Tier 1'!E38&lt;=Inputs!N10,'HAMP Tier 1'!E16&gt;='HAMP Tier 1'!E30),1,0)</f>
        <v>1</v>
      </c>
      <c r="B4">
        <f ca="1">IF(OR(Rental="yes",TierOne=0),0,IF(PMMS&lt;'Mod Terms'!G11,1,ROUNDUP(PMMS*100-'Mod Terms'!G11*100,0)+1))</f>
        <v>3</v>
      </c>
      <c r="D4" s="12" t="s">
        <v>98</v>
      </c>
      <c r="E4" s="354">
        <v>0.1</v>
      </c>
      <c r="F4" s="354">
        <v>0.55000000000000004</v>
      </c>
      <c r="G4" s="361">
        <v>0</v>
      </c>
      <c r="I4" s="359">
        <v>3</v>
      </c>
      <c r="J4" s="360" t="s">
        <v>187</v>
      </c>
      <c r="K4" s="322"/>
    </row>
    <row r="5" spans="1:14">
      <c r="A5">
        <f>IF(Payoff="Only Default Date",1,IF(Payoff="UPB at Default",2,IF(Payoff="Capitalized UPB",3)))</f>
        <v>1</v>
      </c>
      <c r="B5" s="267">
        <f>ROUNDUP(Inputs!N36*8,2)/8</f>
        <v>0.04</v>
      </c>
      <c r="D5" s="12" t="s">
        <v>93</v>
      </c>
      <c r="E5" s="354">
        <v>0.25</v>
      </c>
      <c r="F5" s="354">
        <v>0.42</v>
      </c>
      <c r="G5" s="361">
        <v>0</v>
      </c>
    </row>
    <row r="6" spans="1:14">
      <c r="A6" s="140">
        <f ca="1">IF(OR('HAMP Tier 1'!E38&gt;Inputs!N10,'HAMP Tier 1'!E16&lt;'HAMP Tier 1'!E30),1,0)</f>
        <v>0</v>
      </c>
      <c r="D6" s="12" t="s">
        <v>85</v>
      </c>
      <c r="E6" s="354">
        <v>0.25</v>
      </c>
      <c r="F6" s="354">
        <v>0.42</v>
      </c>
      <c r="G6" s="361">
        <v>0.1</v>
      </c>
      <c r="M6" s="140" t="s">
        <v>167</v>
      </c>
      <c r="N6" s="336">
        <f ca="1">IF('2MP'!E23="Amortizing",-PMT('2MP'!E20/12,'Data Validation'!K8,'2MP'!E34),IF('2MP'!E23="Interest Only",'2MP'!E20/12*'2MP'!E34,-PMT('2MP'!E20/12,'Data Validation'!K8,'2MP'!E25)+'2MP'!E20/12*('2MP'!E34-'2MP'!E25)))</f>
        <v>533.91132780087673</v>
      </c>
    </row>
    <row r="7" spans="1:14">
      <c r="A7">
        <f>IF(Payoff2="Only Default Date",1,IF(Payoff2="UPB at Default",2,IF(Payoff2="Capitalized UPB",3)))</f>
        <v>1</v>
      </c>
      <c r="D7" s="12" t="s">
        <v>88</v>
      </c>
      <c r="E7" s="354">
        <v>0.1</v>
      </c>
      <c r="F7" s="354">
        <v>0.42</v>
      </c>
      <c r="G7" s="361">
        <v>0</v>
      </c>
      <c r="M7" s="140" t="s">
        <v>168</v>
      </c>
      <c r="N7" s="304">
        <f ca="1">IF(OR('2MP'!E34&lt;5000,N6&lt;100),1,0)</f>
        <v>0</v>
      </c>
    </row>
    <row r="8" spans="1:14">
      <c r="A8" s="140"/>
      <c r="D8" s="12" t="s">
        <v>95</v>
      </c>
      <c r="E8" s="354">
        <v>0.1</v>
      </c>
      <c r="F8" s="354">
        <v>0.55000000000000004</v>
      </c>
      <c r="G8" s="361">
        <v>0</v>
      </c>
      <c r="J8" s="140" t="s">
        <v>135</v>
      </c>
      <c r="K8" s="306">
        <f ca="1">'2MP'!E19-ROUNDUP(DAYS360('2MP'!E22,'2MP'!E32)/30,0)</f>
        <v>264</v>
      </c>
      <c r="M8" s="140" t="s">
        <v>169</v>
      </c>
      <c r="N8" s="308">
        <f ca="1">IF('2MP'!E6='Data Validation'!I12,'Mod Terms'!M8/GMI,IF(AND('2MP'!E6="Custom",'2MP'!E8='2MP'!E9),-PMT('2MP'!E9/12,'2MP'!E10,'2MP'!E7-'2MP'!E11)/'2MP'!E12,31%))</f>
        <v>0.31</v>
      </c>
    </row>
    <row r="9" spans="1:14">
      <c r="D9" s="12" t="s">
        <v>90</v>
      </c>
      <c r="E9" s="354">
        <v>0.1</v>
      </c>
      <c r="F9" s="354">
        <v>0.55000000000000004</v>
      </c>
      <c r="G9" s="361">
        <v>0</v>
      </c>
      <c r="J9" s="140" t="s">
        <v>134</v>
      </c>
      <c r="K9">
        <f>IF(OR('2MP'!E23="Amortizing",AND('2MP'!E23="Partially Amortizing",'2MP'!E25/'2MP'!E34&gt;0.5)),1,0)</f>
        <v>1</v>
      </c>
      <c r="M9" s="140" t="s">
        <v>170</v>
      </c>
      <c r="N9">
        <f ca="1">IF(SecondServicer="Other",0,IF(OR(N8&lt;VLOOKUP(SecondServicer,DTI_Range,2,FALSE),N8&gt;VLOOKUP(SecondServicer,DTI_Range,3,FALSE)),1,0))</f>
        <v>0</v>
      </c>
    </row>
    <row r="10" spans="1:14">
      <c r="A10">
        <f>IF(TYPE="FNMA",1,IF(TYPE="FDMC",2,IF(TYPE="Non-GSE",3,0)))</f>
        <v>3</v>
      </c>
      <c r="D10" s="12" t="s">
        <v>86</v>
      </c>
      <c r="E10" s="354">
        <v>0.1</v>
      </c>
      <c r="F10" s="354">
        <v>0.55000000000000004</v>
      </c>
      <c r="G10" s="361">
        <v>0</v>
      </c>
      <c r="I10" s="140" t="s">
        <v>117</v>
      </c>
      <c r="J10" s="140" t="s">
        <v>150</v>
      </c>
      <c r="K10">
        <f>ROUNDUP('2MP'!E9*100-'2MP'!E8*100,0)+1</f>
        <v>3</v>
      </c>
    </row>
    <row r="11" spans="1:14">
      <c r="B11">
        <f ca="1">ROUNDUP(PMMS*100-'Mod Terms'!G11*100,0)</f>
        <v>2</v>
      </c>
      <c r="D11" s="12" t="s">
        <v>87</v>
      </c>
      <c r="E11" s="354">
        <v>0.1</v>
      </c>
      <c r="F11" s="354">
        <v>0.55000000000000004</v>
      </c>
      <c r="G11" s="361">
        <v>0</v>
      </c>
      <c r="I11" t="str">
        <f ca="1">IF(TierOne,"Worksheet HAMP","")</f>
        <v>Worksheet HAMP</v>
      </c>
      <c r="J11" s="140" t="s">
        <v>151</v>
      </c>
      <c r="K11" s="43">
        <f ca="1">IF(DAYS360('2MP'!E22,'2MP'!E24)/30='2MP'!E19-1,DATE(YEAR('2MP'!E32)+5,MONTH('2MP'!E32)+1,DAY(1)),IF('2MP'!E24&gt;DATE(YEAR('2MP'!E32)+5,MONTH('2MP'!E32),DAY('2MP'!E32)),'2MP'!E24,DATE(YEAR('2MP'!E32)+5,MONTH('2MP'!E32)+1,DAY(1))))</f>
        <v>44228</v>
      </c>
    </row>
    <row r="12" spans="1:14">
      <c r="D12" s="12" t="s">
        <v>99</v>
      </c>
      <c r="E12" s="354">
        <v>0.1</v>
      </c>
      <c r="F12" s="354">
        <v>0.42</v>
      </c>
      <c r="G12" s="361">
        <v>0</v>
      </c>
      <c r="I12" t="str">
        <f ca="1">IF(OR(TierTwo="YES",TierTwo="Maybe"),IF(Owner=3,"Worksheet Tier 2","Worksheet Std. Mod."),"")</f>
        <v>Worksheet Tier 2</v>
      </c>
      <c r="J12" s="140" t="s">
        <v>152</v>
      </c>
      <c r="K12" s="305">
        <f ca="1">ROUNDUP((K13-60)/12,0)+1</f>
        <v>2</v>
      </c>
    </row>
    <row r="13" spans="1:14">
      <c r="A13">
        <f ca="1">IF(Inputs!N25&gt;=3,1,0)</f>
        <v>1</v>
      </c>
      <c r="D13" s="12" t="s">
        <v>91</v>
      </c>
      <c r="E13" s="354">
        <v>0.1</v>
      </c>
      <c r="F13" s="354">
        <v>0.55000000000000004</v>
      </c>
      <c r="G13" s="361">
        <v>0</v>
      </c>
      <c r="I13" s="140" t="s">
        <v>118</v>
      </c>
      <c r="J13" s="140" t="s">
        <v>153</v>
      </c>
      <c r="K13" s="311">
        <f ca="1">ROUNDDOWN(DAYS360(TODAY(),K11)/30,0)</f>
        <v>61</v>
      </c>
    </row>
    <row r="14" spans="1:14">
      <c r="A14">
        <f>IF(AND(Owner=3,OR(Servicer="other",Servicer="")),1,0)</f>
        <v>0</v>
      </c>
      <c r="D14" s="12" t="s">
        <v>96</v>
      </c>
      <c r="E14" s="354">
        <v>0.1</v>
      </c>
      <c r="F14" s="354">
        <v>0.55000000000000004</v>
      </c>
      <c r="G14" s="361">
        <v>0</v>
      </c>
    </row>
    <row r="15" spans="1:14">
      <c r="D15" s="12" t="s">
        <v>89</v>
      </c>
      <c r="E15" s="354">
        <v>0.1</v>
      </c>
      <c r="F15" s="354">
        <v>0.55000000000000004</v>
      </c>
      <c r="G15" s="361">
        <v>0</v>
      </c>
      <c r="J15" t="str">
        <f ca="1">IF(TierOne,"Worksheet HAMP","")</f>
        <v>Worksheet HAMP</v>
      </c>
      <c r="K15" t="str">
        <f ca="1">IF(OR(TierTwo="YES",TierTwo="Maybe"),IF(Owner=3,"Worksheet Tier 2","Worksheet Std. Mod."),"")</f>
        <v>Worksheet Tier 2</v>
      </c>
      <c r="L15" s="140" t="s">
        <v>118</v>
      </c>
    </row>
    <row r="16" spans="1:14">
      <c r="D16" s="12" t="s">
        <v>94</v>
      </c>
      <c r="E16" s="354">
        <v>0.1</v>
      </c>
      <c r="F16" s="354">
        <v>0.55000000000000004</v>
      </c>
      <c r="G16" s="361">
        <v>0</v>
      </c>
      <c r="I16" s="140" t="s">
        <v>131</v>
      </c>
      <c r="J16" s="300">
        <f ca="1">-PMT(J19/12,J20,J17-J18)</f>
        <v>199.43890874815398</v>
      </c>
      <c r="K16" s="300">
        <f t="shared" ref="K16:L16" ca="1" si="0">-PMT(K19/12,K20,K17-K18)</f>
        <v>199.74478947395755</v>
      </c>
      <c r="L16" s="300">
        <f t="shared" ca="1" si="0"/>
        <v>369.30900573356627</v>
      </c>
    </row>
    <row r="17" spans="1:12">
      <c r="D17" s="12" t="s">
        <v>92</v>
      </c>
      <c r="E17" s="354">
        <v>0.25</v>
      </c>
      <c r="F17" s="354">
        <v>0.42</v>
      </c>
      <c r="G17" s="361">
        <v>0.1</v>
      </c>
      <c r="I17" s="140" t="s">
        <v>128</v>
      </c>
      <c r="J17" s="300">
        <f ca="1">'2MP'!$E$37</f>
        <v>90031.195953251154</v>
      </c>
      <c r="K17" s="300">
        <f ca="1">'2MP'!$E$37</f>
        <v>90031.195953251154</v>
      </c>
      <c r="L17" s="300">
        <f ca="1">'2MP'!$E$37</f>
        <v>90031.195953251154</v>
      </c>
    </row>
    <row r="18" spans="1:12">
      <c r="D18" s="359" t="s">
        <v>100</v>
      </c>
      <c r="E18" s="353"/>
      <c r="F18" s="353"/>
      <c r="G18" s="362"/>
      <c r="I18" s="140" t="s">
        <v>132</v>
      </c>
      <c r="J18" s="300">
        <f ca="1">'Mod Terms'!G10/'Mod Terms'!G9*'Data Validation'!J17</f>
        <v>11156.708608054461</v>
      </c>
      <c r="K18" s="299">
        <f ca="1">'Mod Terms'!M10/'Mod Terms'!M9*'Data Validation'!K17</f>
        <v>11035.738303975029</v>
      </c>
      <c r="L18" s="300">
        <f ca="1">'2MP'!E11/'2MP'!E7*'Data Validation'!L17</f>
        <v>2545.8772107171785</v>
      </c>
    </row>
    <row r="19" spans="1:12">
      <c r="E19" s="281"/>
      <c r="F19" s="281"/>
      <c r="G19" s="281"/>
      <c r="I19" s="140" t="s">
        <v>129</v>
      </c>
      <c r="J19" s="183">
        <f>1%</f>
        <v>0.01</v>
      </c>
      <c r="K19" s="183">
        <v>0.01</v>
      </c>
      <c r="L19" s="183">
        <v>0.01</v>
      </c>
    </row>
    <row r="20" spans="1:12">
      <c r="I20" s="140" t="s">
        <v>130</v>
      </c>
      <c r="J20">
        <f ca="1">IF($K$8&gt;'Mod Terms'!G12,$K$8,'Mod Terms'!G12)</f>
        <v>480</v>
      </c>
      <c r="K20">
        <f ca="1">IF($K$8&gt;480,$K$8,480)</f>
        <v>480</v>
      </c>
      <c r="L20">
        <f ca="1">IF($K$8&gt;'2MP'!E10,$K$8,'2MP'!E10)</f>
        <v>264</v>
      </c>
    </row>
    <row r="21" spans="1:12">
      <c r="I21" s="140" t="s">
        <v>138</v>
      </c>
      <c r="J21" s="267">
        <f ca="1">IF(numsteps=1,'Mod Terms'!F21,'Mod Terms'!F22)</f>
        <v>0.03</v>
      </c>
      <c r="K21" s="267">
        <f ca="1">'Mod Terms'!M11</f>
        <v>3.5000000000000003E-2</v>
      </c>
      <c r="L21" s="308">
        <f>IF(Numsteps2=1,'2MP'!E8,IF(Numsteps2=2,'2MP'!E9,'2MP'!E8+1%))</f>
        <v>0.03</v>
      </c>
    </row>
    <row r="22" spans="1:12">
      <c r="I22" s="140" t="s">
        <v>139</v>
      </c>
      <c r="J22" s="267">
        <f ca="1">'Mod Terms'!F23</f>
        <v>0.04</v>
      </c>
      <c r="L22" s="308">
        <f>IF(Numsteps2&lt;3,"",IF(Numsteps2=3,'2MP'!$E$9,'Data Validation'!L21+1%))</f>
        <v>3.7499999999999999E-2</v>
      </c>
    </row>
    <row r="23" spans="1:12">
      <c r="A23" s="1"/>
      <c r="B23" s="1"/>
      <c r="C23" s="1"/>
      <c r="D23" s="1"/>
      <c r="E23" s="1"/>
      <c r="F23" s="1"/>
      <c r="G23" s="1"/>
      <c r="H23" s="1"/>
      <c r="I23" s="140" t="s">
        <v>140</v>
      </c>
      <c r="J23" s="267" t="str">
        <f ca="1">'Mod Terms'!F24</f>
        <v/>
      </c>
      <c r="L23" s="308" t="str">
        <f>IF(Numsteps2&lt;4,"",IF(Numsteps2=4,'2MP'!$E$9,'Data Validation'!L22+1%))</f>
        <v/>
      </c>
    </row>
    <row r="24" spans="1:12">
      <c r="A24" s="1" t="s">
        <v>193</v>
      </c>
      <c r="B24" s="1"/>
      <c r="C24" s="1"/>
      <c r="D24" s="1"/>
      <c r="E24" s="1"/>
      <c r="F24" s="1"/>
      <c r="G24" s="1"/>
      <c r="H24" s="1"/>
      <c r="I24" s="140" t="s">
        <v>141</v>
      </c>
      <c r="J24" s="267" t="str">
        <f ca="1">'Mod Terms'!F25</f>
        <v/>
      </c>
      <c r="L24" s="308" t="str">
        <f>IF(Numsteps2&lt;5,"",IF(Numsteps2=5,'2MP'!$E$9,'Data Validation'!L23+1%))</f>
        <v/>
      </c>
    </row>
    <row r="25" spans="1:12">
      <c r="A25" s="349" t="s">
        <v>176</v>
      </c>
      <c r="B25" s="8"/>
      <c r="C25" s="8"/>
      <c r="D25" s="8"/>
      <c r="E25" s="8">
        <f ca="1">IF(AND(rangeunknown,'Tier 2 - Standard'!P30="YES",PIREDUCTION="YES",OR('Tier 2 - Standard'!P32="NO",'Tier 2 - Standard'!P38="NO")),1,0)</f>
        <v>0</v>
      </c>
      <c r="F25" s="8" t="s">
        <v>112</v>
      </c>
      <c r="G25" s="8" t="str">
        <f ca="1">IF(AND(PIREDUCTION="YES",'Tier 2 - Standard'!P38="YES"),"Potentially Tier 2 Eligible; Streamline Eligible","Eligibility Depends on Servicer Criteria")</f>
        <v>Eligibility Depends on Servicer Criteria</v>
      </c>
      <c r="H25" s="350" t="str">
        <f>"Potential Tier 2 Terms"</f>
        <v>Potential Tier 2 Terms</v>
      </c>
      <c r="I25" s="140" t="s">
        <v>142</v>
      </c>
      <c r="J25" s="300">
        <f ca="1">-PMT(J21/12,J20-60,J29)</f>
        <v>271.90219767568215</v>
      </c>
      <c r="K25" s="301">
        <f ca="1">-PMT(K21/12,K20-60,K29)</f>
        <v>292.4436167452908</v>
      </c>
      <c r="L25" s="301">
        <f ca="1">-PMT(L21/12,L20-60,L29)</f>
        <v>433.80657125772836</v>
      </c>
    </row>
    <row r="26" spans="1:12">
      <c r="A26" s="12" t="s">
        <v>114</v>
      </c>
      <c r="B26" s="1"/>
      <c r="C26" s="1"/>
      <c r="D26" s="1"/>
      <c r="E26" s="1">
        <f ca="1">IF(AND(Owner&lt;3,'Tier 2 - Standard'!P30="YES",'Tier 2 - Standard'!P36="YES"),1,0)</f>
        <v>0</v>
      </c>
      <c r="F26" s="1" t="s">
        <v>113</v>
      </c>
      <c r="G26" s="1" t="str">
        <f>""</f>
        <v/>
      </c>
      <c r="H26" s="234" t="s">
        <v>188</v>
      </c>
      <c r="I26" s="140" t="s">
        <v>143</v>
      </c>
      <c r="J26" s="300">
        <f ca="1">IF(numsteps&lt;3,"",-PMT(J22/12,J20-72,J30))</f>
        <v>311.26057648283444</v>
      </c>
      <c r="L26" s="309">
        <f ca="1">IF(Numsteps2&lt;3,"",-PMT(L22/12,L20-72,L30))</f>
        <v>452.4512457391466</v>
      </c>
    </row>
    <row r="27" spans="1:12">
      <c r="A27" s="351" t="s">
        <v>177</v>
      </c>
      <c r="B27" s="1"/>
      <c r="C27" s="1"/>
      <c r="D27" s="1"/>
      <c r="E27" s="1">
        <f ca="1">IF(AND(Owner=3,NOT(rangeunknown),'Tier 2 - Standard'!P30="YES",'Tier 2 - Standard'!P36="YES"),1,0)</f>
        <v>1</v>
      </c>
      <c r="F27" s="1" t="s">
        <v>113</v>
      </c>
      <c r="G27" s="1" t="str">
        <f>IF(Inputs!N12&gt;DATE(2009,1,1),"Possible Ineligibility Due to Origination Date","")</f>
        <v/>
      </c>
      <c r="H27" s="234" t="s">
        <v>189</v>
      </c>
      <c r="I27" s="140" t="s">
        <v>144</v>
      </c>
      <c r="J27" s="300" t="str">
        <f ca="1">IF(numsteps&lt;4,"",-PMT(J23/12,J20-84,J31))</f>
        <v/>
      </c>
      <c r="L27" s="309" t="str">
        <f>IF(Numsteps2&lt;4,"",-PMT(L23/12,L20-84,L31))</f>
        <v/>
      </c>
    </row>
    <row r="28" spans="1:12">
      <c r="A28" s="351" t="s">
        <v>172</v>
      </c>
      <c r="B28" s="1"/>
      <c r="C28" s="1"/>
      <c r="D28" s="1"/>
      <c r="E28" s="1">
        <f ca="1">IF(AND(Owner=3,rangeunknown, 'Tier 2 - Standard'!P32="YES",'Tier 2 - Standard'!P38="YES"),1,0)</f>
        <v>0</v>
      </c>
      <c r="F28" s="1" t="s">
        <v>113</v>
      </c>
      <c r="G28" s="1" t="str">
        <f>IF(Inputs!N12&gt;DATE(2009,1,1),"Possible Ineligibility Due to Origination Date","")</f>
        <v/>
      </c>
      <c r="H28" s="234" t="s">
        <v>189</v>
      </c>
      <c r="I28" s="140" t="s">
        <v>145</v>
      </c>
      <c r="J28" s="300" t="str">
        <f ca="1">IF(numsteps&lt;5,"",-PMT(J24/12,J20-96,J32))</f>
        <v/>
      </c>
      <c r="L28" s="309" t="str">
        <f>IF(Numsteps2&lt;5,"",-PMT(L24/12,L20-96,L32))</f>
        <v/>
      </c>
    </row>
    <row r="29" spans="1:12">
      <c r="A29" s="351" t="s">
        <v>174</v>
      </c>
      <c r="B29" s="1"/>
      <c r="C29" s="1"/>
      <c r="D29" s="1"/>
      <c r="E29" s="1">
        <f ca="1">IF(AND(NOT(sline),'Tier 2 - Standard'!P30="NO"),1,0)</f>
        <v>0</v>
      </c>
      <c r="F29" s="1" t="s">
        <v>39</v>
      </c>
      <c r="G29" s="1" t="str">
        <f ca="1">IF(OR(DTI&gt;'Tier 2 - Standard'!N27,DTI&gt;55%),"Minimum Gross Monthly Income For:","Maximum Gross Monthly Income For:")</f>
        <v>Maximum Gross Monthly Income For:</v>
      </c>
      <c r="H29" s="234" t="str">
        <f>IF(Owner=3,"Not Tier 2 Eligible","Not Standard Modification Eligible")</f>
        <v>Not Tier 2 Eligible</v>
      </c>
      <c r="I29" s="140" t="s">
        <v>146</v>
      </c>
      <c r="J29" s="300">
        <f ca="1">(J17-J18)+CUMPRINC(J19/12,J20,(J17-J18),1,60,0)</f>
        <v>70651.439126875834</v>
      </c>
      <c r="K29" s="300">
        <f ca="1">(K17-K18)+CUMPRINC(K19/12,K20,(K17-K18),1,60,0)</f>
        <v>70759.797689479514</v>
      </c>
      <c r="L29" s="300">
        <f ca="1">(L17-L18)+CUMPRINC(L19/12,L20,(L17-L18),1,60,0)</f>
        <v>69256.719433540988</v>
      </c>
    </row>
    <row r="30" spans="1:12">
      <c r="A30" s="351" t="s">
        <v>173</v>
      </c>
      <c r="B30" s="1"/>
      <c r="C30" s="1"/>
      <c r="D30" s="1"/>
      <c r="E30" s="1">
        <f ca="1">IF(PIREDUCTION="NO",1,0)</f>
        <v>0</v>
      </c>
      <c r="F30" s="1" t="s">
        <v>39</v>
      </c>
      <c r="G30" s="1" t="str">
        <f>""</f>
        <v/>
      </c>
      <c r="H30" s="234" t="str">
        <f>IF(Owner=3,"Not Tier 2 Eligible","Not Standard Modification Eligible")</f>
        <v>Not Tier 2 Eligible</v>
      </c>
      <c r="I30" s="140" t="s">
        <v>147</v>
      </c>
      <c r="J30" s="300">
        <f ca="1">IF(numsteps&lt;3,"",(J29)+CUMPRINC(J21/12,J20-60,(J17-J18),1,12,0))</f>
        <v>69357.393505296655</v>
      </c>
      <c r="L30" s="300">
        <f ca="1">IF(Numsteps2&lt;3,"",(L29)+CUMPRINC(L21/12,L20-60,(L17-L18),1,12,0))</f>
        <v>65250.662834127557</v>
      </c>
    </row>
    <row r="31" spans="1:12">
      <c r="A31" s="351" t="s">
        <v>183</v>
      </c>
      <c r="B31" s="1"/>
      <c r="C31" s="1"/>
      <c r="D31" s="1"/>
      <c r="E31" s="1">
        <f ca="1">IF(AND(Owner=3,Inputs!N25&gt;2,PIREDUCTION="YES",'Tier 2 - Standard'!P30="NO"),1,0)</f>
        <v>0</v>
      </c>
      <c r="F31" s="1" t="s">
        <v>115</v>
      </c>
      <c r="G31" s="1" t="str">
        <f ca="1">IF(AND(rangeunknown, 'Tier 2 - Standard'!P38="NO",PIREDUCTION="YES"),"Potential HAMP Streamline Only","HAMP Streamline Only")</f>
        <v>HAMP Streamline Only</v>
      </c>
      <c r="H31" s="234" t="str">
        <f ca="1">IF(AND(rangeunknown, 'Tier 2 - Standard'!P38="NO",PIREDUCTION="YES"),"Potential HAMP Streamline Terms","HAMP Streamline Terms")</f>
        <v>HAMP Streamline Terms</v>
      </c>
      <c r="I31" s="140" t="s">
        <v>148</v>
      </c>
      <c r="J31" s="299" t="str">
        <f ca="1">IF(numsteps&lt;4,"",J30+CUMPRINC(J22/12,J20-72,J29,1,12,0))</f>
        <v/>
      </c>
      <c r="L31" s="299" t="str">
        <f>IF(Numsteps2&lt;4,"",L30+CUMPRINC(L22/12,L20-72,L29,1,12,0))</f>
        <v/>
      </c>
    </row>
    <row r="32" spans="1:12">
      <c r="A32" s="352" t="s">
        <v>175</v>
      </c>
      <c r="B32" s="20"/>
      <c r="C32" s="20"/>
      <c r="D32" s="20"/>
      <c r="E32" s="20">
        <f ca="1">IF(AND(sline,Owner&lt;3,PIREDUCTION="YES",'Tier 2 - Standard'!P30="NO"),1,0)</f>
        <v>0</v>
      </c>
      <c r="F32" s="20" t="s">
        <v>115</v>
      </c>
      <c r="G32" s="353" t="s">
        <v>184</v>
      </c>
      <c r="H32" s="322" t="s">
        <v>190</v>
      </c>
      <c r="I32" s="140" t="s">
        <v>149</v>
      </c>
      <c r="J32" s="299" t="str">
        <f ca="1">IF(numsteps&lt;5,"",J31+CUMPRINC(J23/12,J20-84,J31,1,12,0))</f>
        <v/>
      </c>
      <c r="L32" s="299" t="str">
        <f>IF(Numsteps2&lt;5,"",L31+CUMPRINC(L23/12,L20-84,L31,1,12,0))</f>
        <v/>
      </c>
    </row>
    <row r="33" spans="1:12">
      <c r="A33" s="1"/>
      <c r="B33" s="1"/>
      <c r="C33" s="1"/>
      <c r="D33" s="1" t="s">
        <v>191</v>
      </c>
      <c r="E33" s="1"/>
      <c r="F33" s="1"/>
      <c r="G33" s="354"/>
      <c r="H33" s="1"/>
    </row>
    <row r="34" spans="1:12">
      <c r="A34" s="1"/>
      <c r="B34" s="1"/>
      <c r="C34" s="1"/>
      <c r="D34" s="355" t="s">
        <v>84</v>
      </c>
      <c r="E34" s="354"/>
      <c r="F34" s="354"/>
      <c r="G34" s="354"/>
      <c r="H34" s="1"/>
      <c r="I34" s="140" t="s">
        <v>158</v>
      </c>
      <c r="J34">
        <f ca="1">HLOOKUP('2MP'!E6,NonAM,28,FALSE)</f>
        <v>4</v>
      </c>
      <c r="K34" s="140" t="s">
        <v>159</v>
      </c>
      <c r="L34">
        <f ca="1">HLOOKUP('2MP'!E6,NonAM,27,FALSE)</f>
        <v>3</v>
      </c>
    </row>
    <row r="35" spans="1:12">
      <c r="A35" s="1"/>
      <c r="B35" s="1"/>
      <c r="C35" s="1"/>
      <c r="D35" s="356" t="s">
        <v>98</v>
      </c>
      <c r="E35" s="354"/>
      <c r="F35" s="354"/>
      <c r="G35" s="354"/>
      <c r="H35" s="1"/>
      <c r="J35" t="str">
        <f ca="1">IF(TierOne,"Worksheet HAMP","")</f>
        <v>Worksheet HAMP</v>
      </c>
      <c r="K35" t="str">
        <f ca="1">IF(OR(TierTwo="YES",TierTwo="Maybe"),IF(Owner=3,"Worksheet Tier 2","Worksheet Std. Mod."),"")</f>
        <v>Worksheet Tier 2</v>
      </c>
      <c r="L35" s="140" t="s">
        <v>118</v>
      </c>
    </row>
    <row r="36" spans="1:12">
      <c r="D36" s="356" t="s">
        <v>178</v>
      </c>
      <c r="E36" s="281"/>
      <c r="F36" s="281"/>
      <c r="G36" s="281"/>
      <c r="I36" s="140" t="s">
        <v>131</v>
      </c>
      <c r="J36" s="300">
        <f ca="1">J39/12*(J37-J38)</f>
        <v>131.45747890866116</v>
      </c>
      <c r="K36" s="300">
        <f t="shared" ref="K36:L36" ca="1" si="1">K39/12*(K37-K38)</f>
        <v>131.65909608212689</v>
      </c>
      <c r="L36" s="300">
        <f t="shared" ca="1" si="1"/>
        <v>145.80886457088997</v>
      </c>
    </row>
    <row r="37" spans="1:12">
      <c r="D37" s="356" t="s">
        <v>88</v>
      </c>
      <c r="E37" s="281"/>
      <c r="F37" s="281"/>
      <c r="G37" s="281"/>
      <c r="I37" s="140" t="s">
        <v>128</v>
      </c>
      <c r="J37" s="300">
        <f ca="1">'2MP'!$E$37</f>
        <v>90031.195953251154</v>
      </c>
      <c r="K37" s="300">
        <f ca="1">'2MP'!$E$37</f>
        <v>90031.195953251154</v>
      </c>
      <c r="L37" s="300">
        <f ca="1">'2MP'!$E$37</f>
        <v>90031.195953251154</v>
      </c>
    </row>
    <row r="38" spans="1:12">
      <c r="D38" s="356" t="s">
        <v>95</v>
      </c>
      <c r="E38" s="281"/>
      <c r="F38" s="281"/>
      <c r="G38" s="281"/>
      <c r="I38" s="140" t="s">
        <v>132</v>
      </c>
      <c r="J38" s="300">
        <f ca="1">'Mod Terms'!G10/'Mod Terms'!G9*'Data Validation'!J17</f>
        <v>11156.708608054461</v>
      </c>
      <c r="K38" s="299">
        <f ca="1">'Mod Terms'!M10/'Mod Terms'!M9*'Data Validation'!K17</f>
        <v>11035.738303975029</v>
      </c>
      <c r="L38" s="300">
        <f ca="1">'2MP'!E11/'2MP'!E7*'Data Validation'!L17</f>
        <v>2545.8772107171785</v>
      </c>
    </row>
    <row r="39" spans="1:12">
      <c r="D39" s="356" t="s">
        <v>179</v>
      </c>
      <c r="E39" s="281"/>
      <c r="F39" s="281"/>
      <c r="G39" s="281"/>
      <c r="I39" s="140" t="s">
        <v>129</v>
      </c>
      <c r="J39" s="183">
        <f>2%</f>
        <v>0.02</v>
      </c>
      <c r="K39" s="183">
        <f>2%</f>
        <v>0.02</v>
      </c>
      <c r="L39" s="183">
        <f>2%</f>
        <v>0.02</v>
      </c>
    </row>
    <row r="40" spans="1:12">
      <c r="D40" s="356" t="s">
        <v>90</v>
      </c>
      <c r="E40" s="281"/>
      <c r="F40" s="281"/>
      <c r="G40" s="281"/>
      <c r="I40" s="140" t="s">
        <v>130</v>
      </c>
      <c r="J40">
        <f ca="1">IF($K$8&gt;'Mod Terms'!G12,$K$8,'Mod Terms'!G12)</f>
        <v>480</v>
      </c>
      <c r="K40">
        <f ca="1">IF($K$8&gt;480,$K$8,480)</f>
        <v>480</v>
      </c>
      <c r="L40">
        <f ca="1">IF($K$8&gt;'2MP'!E10,$K$8,'2MP'!E10)</f>
        <v>264</v>
      </c>
    </row>
    <row r="41" spans="1:12">
      <c r="D41" s="356" t="s">
        <v>87</v>
      </c>
      <c r="E41" s="281"/>
      <c r="F41" s="281"/>
      <c r="G41" s="281"/>
      <c r="I41" s="140" t="s">
        <v>138</v>
      </c>
      <c r="J41" s="267">
        <f ca="1">J21</f>
        <v>0.03</v>
      </c>
      <c r="K41" s="267">
        <f ca="1">K21</f>
        <v>3.5000000000000003E-2</v>
      </c>
      <c r="L41" s="267">
        <f>L21</f>
        <v>0.03</v>
      </c>
    </row>
    <row r="42" spans="1:12">
      <c r="D42" s="356" t="s">
        <v>99</v>
      </c>
      <c r="E42" s="281"/>
      <c r="F42" s="281"/>
      <c r="G42" s="281"/>
      <c r="I42" s="140" t="s">
        <v>139</v>
      </c>
      <c r="J42" s="267">
        <f ca="1">IF(J$62&lt;3,"",IF(K12=2,J41,J22))</f>
        <v>0.03</v>
      </c>
      <c r="K42" s="267">
        <f ca="1">IF(K62=3,K41,"")</f>
        <v>3.5000000000000003E-2</v>
      </c>
      <c r="L42" s="267">
        <f>IF(M12=2,L41,L22)</f>
        <v>3.7499999999999999E-2</v>
      </c>
    </row>
    <row r="43" spans="1:12">
      <c r="D43" s="356" t="s">
        <v>91</v>
      </c>
      <c r="E43" s="281"/>
      <c r="F43" s="281"/>
      <c r="G43" s="281"/>
      <c r="I43" s="140" t="s">
        <v>140</v>
      </c>
      <c r="J43" s="267">
        <f ca="1">IF(J$62&lt;4,"",IF($K$12=3,$J$42,IF(AND(J$62&gt;J$61,$K$12&lt;3),J22,J23)))</f>
        <v>0.04</v>
      </c>
      <c r="L43" s="267">
        <f ca="1">IF($K$12=3,L22,IF(AND(L$62&gt;L$61,$K$12&lt;3),L22,L23))</f>
        <v>3.7499999999999999E-2</v>
      </c>
    </row>
    <row r="44" spans="1:12">
      <c r="D44" s="356" t="s">
        <v>180</v>
      </c>
      <c r="E44" s="281"/>
      <c r="F44" s="281"/>
      <c r="I44" s="140" t="s">
        <v>141</v>
      </c>
      <c r="J44" s="267" t="str">
        <f ca="1">IF($K$12=3,$J$42,IF(AND(J$62&gt;J$61,$K$12&lt;3),J23,J24))</f>
        <v/>
      </c>
      <c r="L44" s="267" t="str">
        <f ca="1">IF($K$12=3,L23,IF(AND(L$62&gt;L$61,$K$12&lt;3),L23,L24))</f>
        <v/>
      </c>
    </row>
    <row r="45" spans="1:12">
      <c r="D45" s="357" t="s">
        <v>92</v>
      </c>
      <c r="E45" s="281"/>
      <c r="F45" s="281"/>
      <c r="I45" s="140" t="s">
        <v>160</v>
      </c>
      <c r="J45" s="267" t="str">
        <f ca="1">IF(J$62&lt;6,"",IF($K$12=3,$J$42,IF(AND(J$62&gt;J$61,$K$12&lt;3),J24,J25)))</f>
        <v/>
      </c>
      <c r="L45" s="267" t="str">
        <f ca="1">IF(L62&lt;6,"",IF($K$12=3,L24,IF(AND(L$62&gt;L$61,$K$12&lt;3),L24,L25)))</f>
        <v/>
      </c>
    </row>
    <row r="46" spans="1:12">
      <c r="I46" s="140" t="s">
        <v>142</v>
      </c>
      <c r="J46" s="300">
        <f ca="1">IF($K$13&gt;60,J41/12*J51,-PMT(J41/12,J40-60,J51))</f>
        <v>197.18621836299172</v>
      </c>
      <c r="K46" s="300">
        <f ca="1">IF(K62=3,K41/12*(K37-K38),-PMT(K41/12,K40-60,K37-K38))</f>
        <v>230.40341814372204</v>
      </c>
      <c r="L46" s="300">
        <f ca="1">IF($K$13&gt;60,L41/12*L51,-PMT(L41/12,L40-60,L51))</f>
        <v>218.71329685633492</v>
      </c>
    </row>
    <row r="47" spans="1:12">
      <c r="I47" s="140" t="s">
        <v>143</v>
      </c>
      <c r="J47" s="300">
        <f ca="1">IF(J$62&lt;3,"",IF($K$12&gt;2,J42/12*J52,-PMT(J42/12,$J$40-SUM($J$56:J56)-60,J52)))</f>
        <v>303.9585029814242</v>
      </c>
      <c r="K47" s="300">
        <f ca="1">IF(K62=3,-PMT(K42/12,K40-K13,K37-K38),"")</f>
        <v>326.87839050524457</v>
      </c>
      <c r="L47" s="300">
        <f ca="1">IF(L62&lt;3,"",IF($K$12&gt;2,L42/12*L52,-PMT(L42/12,$L$40-SUM($L$56:L56)-60,L52)))</f>
        <v>582.66562661472028</v>
      </c>
    </row>
    <row r="48" spans="1:12">
      <c r="I48" s="140" t="s">
        <v>144</v>
      </c>
      <c r="J48" s="300">
        <f ca="1">IF(J$62&lt;4,"",IF($K$12&gt;3,J43/12*J53,-PMT(J43/12,$J$40-SUM($J$56:J57)-60,J53)))</f>
        <v>348.63392390306927</v>
      </c>
      <c r="L48" s="300">
        <f ca="1">IF(L62&lt;4,"",IF($K$12&gt;3,L43/12*L53,-PMT(L43/12,$L$40-SUM($L$56:L57)-60,L53)))</f>
        <v>582.66562661472062</v>
      </c>
    </row>
    <row r="49" spans="9:12">
      <c r="I49" s="140" t="s">
        <v>145</v>
      </c>
      <c r="J49" s="300" t="str">
        <f ca="1">IF(J$62&lt;5,"",IF($K$12&gt;4,J44/12*J54,-PMT(J44/12,$J$40-SUM($J$56:J58)-60,J54)))</f>
        <v/>
      </c>
      <c r="L49" s="300" t="str">
        <f ca="1">IF(L62&lt;5,"",IF($K$12&gt;4,L44/12*L54,-PMT(L44/12,$L$40-SUM($L$56:L58)-60,L54)))</f>
        <v/>
      </c>
    </row>
    <row r="50" spans="9:12">
      <c r="I50" s="140" t="s">
        <v>163</v>
      </c>
      <c r="J50" s="300" t="str">
        <f ca="1">IF(J62&lt;6,"",IF($K$12&gt;5,J45/12*J55,-PMT(J45/12,$J$40-SUM($J$56:J59)-60,J55)))</f>
        <v/>
      </c>
      <c r="L50" s="300" t="str">
        <f ca="1">IF(L62&lt;6,"",IF($K$12&gt;5,L45/12*L55,-PMT(L45/12,$L$40-SUM($L$56:L59)-60,L55)))</f>
        <v/>
      </c>
    </row>
    <row r="51" spans="9:12">
      <c r="I51" s="140" t="s">
        <v>146</v>
      </c>
      <c r="J51" s="300">
        <f ca="1">J37-J38</f>
        <v>78874.487345196685</v>
      </c>
      <c r="K51" s="300">
        <f ca="1">K37-K38</f>
        <v>78995.457649276126</v>
      </c>
      <c r="L51" s="300">
        <f ca="1">L37-L38</f>
        <v>87485.318742533971</v>
      </c>
    </row>
    <row r="52" spans="9:12">
      <c r="I52" s="140" t="s">
        <v>147</v>
      </c>
      <c r="J52" s="300">
        <f ca="1">IF(J$62&lt;3,"",IF($K$12&gt;=2,J51,J51+CUMPRINC(J41/12,$J$40-60,J51,1,J56,0)))</f>
        <v>78874.487345196685</v>
      </c>
      <c r="K52" s="300">
        <f ca="1">IF(K62=3,K51,"")</f>
        <v>78995.457649276126</v>
      </c>
      <c r="L52" s="300">
        <f ca="1">IF(L62&lt;3,"",IF($K$12&gt;=2,L51,L51+CUMPRINC(L41/12,$L$40-60,L51,1,L56,0)))</f>
        <v>87485.318742533971</v>
      </c>
    </row>
    <row r="53" spans="9:12">
      <c r="I53" s="140" t="s">
        <v>148</v>
      </c>
      <c r="J53" s="300">
        <f ca="1">IF(J$62&lt;4,"",IF($K$12&gt;=3,J52,J52+CUMPRINC(J42/12,$J$40-60-SUM($J$56:J56),J52,1,J57,0)))</f>
        <v>77685.20036386406</v>
      </c>
      <c r="L53" s="300">
        <f ca="1">IF(L62&lt;4,"",IF($K$12&gt;=3,L52,L52+CUMPRINC(L42/12,$L$40-60-SUM($L$56:L56),L52,1,L57,0)))</f>
        <v>84029.646741634147</v>
      </c>
    </row>
    <row r="54" spans="9:12">
      <c r="I54" s="140" t="s">
        <v>149</v>
      </c>
      <c r="J54" s="300" t="str">
        <f ca="1">IF(J$62&lt;5,"",IF($K$12&gt;=4,J53,J53+CUMPRINC(J43/12,$J$40-60-SUM($J$56:J57),J53,1,J58,0)))</f>
        <v/>
      </c>
      <c r="L54" s="300" t="str">
        <f ca="1">IF(L62&lt;5,"",IF($K$12&gt;=3,L53,L53+CUMPRINC(L43/12,$L$40-60-SUM($L$56:L57),L53,1,L58,0)))</f>
        <v/>
      </c>
    </row>
    <row r="55" spans="9:12">
      <c r="I55" s="140" t="s">
        <v>162</v>
      </c>
      <c r="J55" s="300" t="str">
        <f ca="1">IF(J$62&lt;6,"",IF($K$12&gt;=5,J54,J54+CUMPRINC(J44/12,$J$40-60-SUM($J$56:J58),J54,1,J59,0)))</f>
        <v/>
      </c>
      <c r="L55" s="300" t="str">
        <f ca="1">IF(L62&lt;6,"",IF($K$12&gt;=3,L54,L54+CUMPRINC(L44/12,$L$40-60-SUM($L$56:L58),L54,1,L59,0)))</f>
        <v/>
      </c>
    </row>
    <row r="56" spans="9:12">
      <c r="I56" s="140" t="s">
        <v>154</v>
      </c>
      <c r="J56">
        <f ca="1">IF(J62=2,J40-60,IF(K12=2,K13-60,12))</f>
        <v>1</v>
      </c>
      <c r="K56">
        <f ca="1">IF(K62=3,K13-60,K40-60)</f>
        <v>1</v>
      </c>
      <c r="L56">
        <f ca="1">IF(L62=2,L40-60,IF(K12=2,K13-60,12))</f>
        <v>1</v>
      </c>
    </row>
    <row r="57" spans="9:12">
      <c r="I57" s="140" t="s">
        <v>155</v>
      </c>
      <c r="J57">
        <f ca="1">IF(J$62&lt;3,"",IF($J$62=3,$J$40-SUM(60,$J$56:J56),12-IF($K$12=2,J56,0)))</f>
        <v>11</v>
      </c>
      <c r="K57">
        <f ca="1">IF(K62=3,K40-K13,"")</f>
        <v>419</v>
      </c>
      <c r="L57">
        <f ca="1">IF(L62&lt;3,"",IF($L$62=3,$L$40-SUM(60,$L$56:L56),12-IF($K$12=2,L56,0)))</f>
        <v>11</v>
      </c>
    </row>
    <row r="58" spans="9:12">
      <c r="I58" s="140" t="s">
        <v>156</v>
      </c>
      <c r="J58">
        <f ca="1">IF(J$62&lt;4,"",IF($J$62=4,$J$40-SUM(60,$J$56:J57),12-IF($K$12=3,J57,0)))</f>
        <v>408</v>
      </c>
      <c r="L58">
        <f ca="1">IF(L62&lt;4,"",IF($L$62=4,$J$40-SUM(60,$L$56:L57),12-IF($K$12=3,L57,0)))</f>
        <v>408</v>
      </c>
    </row>
    <row r="59" spans="9:12">
      <c r="I59" s="140" t="s">
        <v>157</v>
      </c>
      <c r="J59" t="str">
        <f ca="1">IF(J$62&lt;5,"",IF($J$62=5,$J$40-SUM(60,$J$56:J58),12-IF($K$12=4,J58,0)))</f>
        <v/>
      </c>
      <c r="L59" t="str">
        <f ca="1">IF(L62&lt;5,"",IF($L$62=5,$L$40-SUM(60,$L$56:L58),12-IF($K$12=4,L58,0)))</f>
        <v/>
      </c>
    </row>
    <row r="60" spans="9:12">
      <c r="I60" s="140" t="s">
        <v>161</v>
      </c>
      <c r="J60" t="str">
        <f ca="1">IF(J$62&lt;6,"",IF($J$62=6,$J$40-SUM(60,$J$56:J59),12-IF($K$12=5,J59,0)))</f>
        <v/>
      </c>
      <c r="L60" t="str">
        <f ca="1">IF(L62&lt;6,"",IF($L$62=6,$L$40-SUM(60,$L$56:L59),12-IF($K$12=5,L59,0)))</f>
        <v/>
      </c>
    </row>
    <row r="61" spans="9:12">
      <c r="I61" s="140" t="s">
        <v>159</v>
      </c>
      <c r="J61">
        <f ca="1">numsteps</f>
        <v>3</v>
      </c>
      <c r="K61">
        <v>2</v>
      </c>
      <c r="L61">
        <f>Numsteps2</f>
        <v>3</v>
      </c>
    </row>
    <row r="62" spans="9:12">
      <c r="I62" s="140" t="s">
        <v>158</v>
      </c>
      <c r="J62">
        <f ca="1">J61+IF(OR(ROUNDUP($K$13/12,0)&gt;$K$13/12,$K$12&gt;=J61),1,0)</f>
        <v>4</v>
      </c>
      <c r="K62">
        <f ca="1">K61+IF(OR(ROUNDUP($K$13/12,0)&gt;$K$13/12,$K$12&gt;=K61),1,0)</f>
        <v>3</v>
      </c>
      <c r="L62">
        <f ca="1">L61+IF(OR(ROUNDUP($K$13/12,0)&gt;$K$13/12,$K$12&gt;=L61),1,0)</f>
        <v>4</v>
      </c>
    </row>
  </sheetData>
  <sortState ref="C2:E19">
    <sortCondition ref="C2:C19"/>
  </sortState>
  <customSheetViews>
    <customSheetView guid="{0367687A-2E80-4414-9E57-D64905950517}" showPageBreaks="1" state="hidden">
      <selection activeCell="B4" sqref="B4"/>
    </customSheetView>
  </customSheetView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7030A0"/>
  </sheetPr>
  <dimension ref="A1:S39"/>
  <sheetViews>
    <sheetView showGridLines="0" zoomScaleNormal="100" workbookViewId="0">
      <selection activeCell="E32" sqref="E32"/>
    </sheetView>
  </sheetViews>
  <sheetFormatPr defaultRowHeight="12.75"/>
  <cols>
    <col min="1" max="1" width="4.28515625" customWidth="1"/>
    <col min="2" max="3" width="7.42578125" customWidth="1"/>
    <col min="4" max="4" width="11.7109375" customWidth="1"/>
    <col min="5" max="5" width="21" customWidth="1"/>
    <col min="6" max="6" width="5.28515625" customWidth="1"/>
    <col min="7" max="7" width="4.28515625" customWidth="1"/>
    <col min="8" max="8" width="4.5703125" customWidth="1"/>
    <col min="9" max="9" width="10.42578125" customWidth="1"/>
    <col min="10" max="10" width="12.140625" customWidth="1"/>
    <col min="11" max="11" width="12.42578125" customWidth="1"/>
    <col min="12" max="12" width="18.28515625" customWidth="1"/>
    <col min="13" max="13" width="5.5703125" customWidth="1"/>
  </cols>
  <sheetData>
    <row r="1" spans="1:19" ht="16.5" customHeight="1">
      <c r="F1" s="398" t="s">
        <v>110</v>
      </c>
      <c r="G1" s="398"/>
      <c r="H1" s="398"/>
      <c r="I1" s="398"/>
      <c r="J1" s="398"/>
      <c r="K1" s="398"/>
      <c r="L1" s="398"/>
      <c r="M1" s="398"/>
    </row>
    <row r="2" spans="1:19" ht="18" customHeight="1">
      <c r="A2" s="424" t="s">
        <v>133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6"/>
    </row>
    <row r="3" spans="1:19">
      <c r="A3" s="411" t="s">
        <v>121</v>
      </c>
      <c r="B3" s="419"/>
      <c r="C3" s="419"/>
      <c r="D3" s="419"/>
      <c r="E3" s="419"/>
      <c r="F3" s="420"/>
      <c r="G3" s="323"/>
      <c r="H3" s="411" t="s">
        <v>164</v>
      </c>
      <c r="I3" s="412"/>
      <c r="J3" s="412"/>
      <c r="K3" s="412"/>
      <c r="L3" s="412"/>
      <c r="M3" s="413"/>
      <c r="R3" s="29"/>
      <c r="S3" s="29"/>
    </row>
    <row r="4" spans="1:19">
      <c r="A4" s="421"/>
      <c r="B4" s="422"/>
      <c r="C4" s="422"/>
      <c r="D4" s="422"/>
      <c r="E4" s="422"/>
      <c r="F4" s="423"/>
      <c r="G4" s="324"/>
      <c r="H4" s="414"/>
      <c r="I4" s="415"/>
      <c r="J4" s="415"/>
      <c r="K4" s="415"/>
      <c r="L4" s="415"/>
      <c r="M4" s="416"/>
    </row>
    <row r="5" spans="1:19">
      <c r="A5" s="330"/>
      <c r="B5" s="331"/>
      <c r="C5" s="331"/>
      <c r="D5" s="331"/>
      <c r="E5" s="331"/>
      <c r="F5" s="331"/>
      <c r="G5" s="325"/>
      <c r="H5" s="1"/>
      <c r="I5" s="340" t="str">
        <f ca="1">IF('Data Validation'!N7=1,"",IF(E22&gt;=DATE(2009,1,1),"Borrower may be ineligible due to origination date",""))</f>
        <v/>
      </c>
      <c r="J5" s="1"/>
      <c r="K5" s="1"/>
      <c r="L5" s="1"/>
      <c r="M5" s="234"/>
    </row>
    <row r="6" spans="1:19">
      <c r="A6" s="12"/>
      <c r="B6" s="146" t="s">
        <v>120</v>
      </c>
      <c r="C6" s="1"/>
      <c r="D6" s="1"/>
      <c r="E6" s="94" t="s">
        <v>196</v>
      </c>
      <c r="F6" s="297"/>
      <c r="G6" s="324"/>
      <c r="H6" s="1"/>
      <c r="I6" s="341" t="str">
        <f ca="1">IF('Data Validation'!N7=1,"Borrower is ineligible due to amount of loan or payment",IF('Data Validation'!N9=1,"Borrower may be ineligible due to servicer DTI range",""))</f>
        <v/>
      </c>
      <c r="M6" s="234"/>
    </row>
    <row r="7" spans="1:19">
      <c r="A7" s="12"/>
      <c r="B7" s="1" t="str">
        <f>IF(E6="Custom","Modified UPB","")</f>
        <v/>
      </c>
      <c r="C7" s="1"/>
      <c r="D7" s="1"/>
      <c r="E7" s="342">
        <v>463095.28</v>
      </c>
      <c r="F7" s="1"/>
      <c r="G7" s="324"/>
      <c r="H7" s="1"/>
      <c r="I7" s="14" t="str">
        <f>IF(Am2nd=0,"Servicer may choose between amortizing and interest only option","")</f>
        <v/>
      </c>
      <c r="J7" s="1"/>
      <c r="K7" s="1"/>
      <c r="L7" s="1"/>
      <c r="M7" s="234"/>
    </row>
    <row r="8" spans="1:19">
      <c r="A8" s="12"/>
      <c r="B8" s="1" t="str">
        <f>IF(E6="Custom","Modified Initial Rate","")</f>
        <v/>
      </c>
      <c r="C8" s="1"/>
      <c r="D8" s="1"/>
      <c r="E8" s="343">
        <v>0.02</v>
      </c>
      <c r="F8" s="1"/>
      <c r="G8" s="324"/>
      <c r="H8" s="334"/>
      <c r="I8" s="408" t="str">
        <f>IF(Am2nd=0,"Amortizing Option","Modified Terms")</f>
        <v>Modified Terms</v>
      </c>
      <c r="J8" s="408"/>
      <c r="K8" s="408"/>
      <c r="L8" s="408"/>
      <c r="M8" s="333"/>
    </row>
    <row r="9" spans="1:19">
      <c r="A9" s="12"/>
      <c r="B9" s="1" t="str">
        <f>IF($E$6="Custom","Modified Final Rate","")</f>
        <v/>
      </c>
      <c r="C9" s="1"/>
      <c r="D9" s="1"/>
      <c r="E9" s="343">
        <v>3.7499999999999999E-2</v>
      </c>
      <c r="F9" s="1"/>
      <c r="G9" s="324"/>
      <c r="H9" s="297"/>
      <c r="I9" s="317"/>
      <c r="J9" s="317"/>
      <c r="K9" s="317"/>
      <c r="L9" s="317"/>
      <c r="M9" s="234"/>
    </row>
    <row r="10" spans="1:19">
      <c r="A10" s="12"/>
      <c r="B10" s="1" t="str">
        <f>IF($E$6="Custom","Modified Term","")</f>
        <v/>
      </c>
      <c r="C10" s="1"/>
      <c r="D10" s="1"/>
      <c r="E10" s="344">
        <v>251</v>
      </c>
      <c r="F10" s="1"/>
      <c r="G10" s="324"/>
      <c r="H10" s="1"/>
      <c r="I10" s="146" t="s">
        <v>131</v>
      </c>
      <c r="J10" s="1"/>
      <c r="K10" s="1"/>
      <c r="L10" s="256">
        <f ca="1">HLOOKUP($E$6,Seconds,2,FALSE)</f>
        <v>199.43890874815398</v>
      </c>
      <c r="M10" s="234"/>
    </row>
    <row r="11" spans="1:19">
      <c r="A11" s="12"/>
      <c r="B11" s="1" t="str">
        <f>IF($E$6="Custom","Forbearance","")</f>
        <v/>
      </c>
      <c r="C11" s="1"/>
      <c r="D11" s="1"/>
      <c r="E11" s="342">
        <v>13095.28</v>
      </c>
      <c r="F11" s="1"/>
      <c r="G11" s="324"/>
      <c r="H11" s="1"/>
      <c r="I11" s="146" t="s">
        <v>128</v>
      </c>
      <c r="J11" s="1"/>
      <c r="K11" s="1"/>
      <c r="L11" s="256">
        <f ca="1">HLOOKUP($E$6,Seconds,3,FALSE)</f>
        <v>90031.195953251154</v>
      </c>
      <c r="M11" s="234"/>
    </row>
    <row r="12" spans="1:19" ht="15" customHeight="1">
      <c r="A12" s="337"/>
      <c r="B12" s="339" t="str">
        <f>IF(AND(E6="Custom",E8=E9),"Borrower GMI","")</f>
        <v/>
      </c>
      <c r="C12" s="338"/>
      <c r="D12" s="338"/>
      <c r="E12" s="345">
        <v>4000</v>
      </c>
      <c r="F12" s="338"/>
      <c r="G12" s="324"/>
      <c r="H12" s="1"/>
      <c r="I12" s="146" t="s">
        <v>132</v>
      </c>
      <c r="J12" s="1"/>
      <c r="K12" s="1"/>
      <c r="L12" s="256">
        <f ca="1">HLOOKUP($E$6,Seconds,4,FALSE)</f>
        <v>11156.708608054461</v>
      </c>
      <c r="M12" s="234"/>
    </row>
    <row r="13" spans="1:19">
      <c r="A13" s="12"/>
      <c r="B13" s="1"/>
      <c r="C13" s="1"/>
      <c r="D13" s="1"/>
      <c r="E13" s="244"/>
      <c r="F13" s="1"/>
      <c r="G13" s="324"/>
      <c r="H13" s="1"/>
      <c r="I13" s="146" t="s">
        <v>129</v>
      </c>
      <c r="J13" s="1"/>
      <c r="K13" s="1"/>
      <c r="L13" s="255">
        <f ca="1">HLOOKUP($E$6,Seconds,5,FALSE)</f>
        <v>0.01</v>
      </c>
      <c r="M13" s="234"/>
    </row>
    <row r="14" spans="1:19">
      <c r="A14" s="411" t="s">
        <v>122</v>
      </c>
      <c r="B14" s="419"/>
      <c r="C14" s="419"/>
      <c r="D14" s="419"/>
      <c r="E14" s="419"/>
      <c r="F14" s="420"/>
      <c r="G14" s="324"/>
      <c r="H14" s="1"/>
      <c r="I14" s="146" t="s">
        <v>130</v>
      </c>
      <c r="J14" s="1"/>
      <c r="K14" s="1"/>
      <c r="L14" s="302">
        <f ca="1">HLOOKUP($E$6,Seconds,6,FALSE)</f>
        <v>480</v>
      </c>
      <c r="M14" s="234"/>
    </row>
    <row r="15" spans="1:19">
      <c r="A15" s="421"/>
      <c r="B15" s="422"/>
      <c r="C15" s="422"/>
      <c r="D15" s="422"/>
      <c r="E15" s="422"/>
      <c r="F15" s="423"/>
      <c r="G15" s="324"/>
      <c r="H15" s="1"/>
      <c r="I15" s="1"/>
      <c r="J15" s="1"/>
      <c r="K15" s="1"/>
      <c r="L15" s="1"/>
      <c r="M15" s="234"/>
    </row>
    <row r="16" spans="1:19" ht="15.75">
      <c r="A16" s="328"/>
      <c r="B16" s="327"/>
      <c r="C16" s="327"/>
      <c r="D16" s="327"/>
      <c r="E16" s="329"/>
      <c r="F16" s="327"/>
      <c r="G16" s="324"/>
      <c r="H16" s="1"/>
      <c r="I16" s="317" t="s">
        <v>73</v>
      </c>
      <c r="J16" s="317" t="s">
        <v>136</v>
      </c>
      <c r="K16" s="317" t="s">
        <v>137</v>
      </c>
      <c r="L16" s="317" t="s">
        <v>77</v>
      </c>
      <c r="M16" s="234"/>
    </row>
    <row r="17" spans="1:13">
      <c r="A17" s="12"/>
      <c r="B17" s="318" t="s">
        <v>119</v>
      </c>
      <c r="C17" s="1"/>
      <c r="D17" s="317"/>
      <c r="E17" s="346" t="s">
        <v>84</v>
      </c>
      <c r="F17" s="1"/>
      <c r="G17" s="324"/>
      <c r="H17" s="1"/>
      <c r="I17" s="307" t="str">
        <f>"1 - 5"</f>
        <v>1 - 5</v>
      </c>
      <c r="J17" s="249">
        <f ca="1">L13</f>
        <v>0.01</v>
      </c>
      <c r="K17" s="250">
        <f ca="1">L10</f>
        <v>199.43890874815398</v>
      </c>
      <c r="L17" s="251">
        <f>60</f>
        <v>60</v>
      </c>
      <c r="M17" s="234"/>
    </row>
    <row r="18" spans="1:13">
      <c r="A18" s="12"/>
      <c r="B18" s="16" t="s">
        <v>40</v>
      </c>
      <c r="C18" s="1"/>
      <c r="D18" s="1"/>
      <c r="E18" s="68">
        <v>80000</v>
      </c>
      <c r="F18" s="1"/>
      <c r="G18" s="324"/>
      <c r="H18" s="1"/>
      <c r="I18" s="310">
        <f ca="1">IF(AmSteps&gt;2,6,CONCATENATE("6 - ",ROUNDUP(L14/12,0)))</f>
        <v>6</v>
      </c>
      <c r="J18" s="255">
        <f ca="1">HLOOKUP($E$6,Seconds,7,FALSE)</f>
        <v>0.03</v>
      </c>
      <c r="K18" s="256">
        <f ca="1">HLOOKUP($E$6,Seconds,11,FALSE)</f>
        <v>271.90219767568215</v>
      </c>
      <c r="L18" s="251">
        <f ca="1">IF(AmSteps=2,L14-L17,12)</f>
        <v>12</v>
      </c>
      <c r="M18" s="234"/>
    </row>
    <row r="19" spans="1:13">
      <c r="A19" s="12"/>
      <c r="B19" s="146" t="s">
        <v>78</v>
      </c>
      <c r="C19" s="1"/>
      <c r="D19" s="1"/>
      <c r="E19" s="53">
        <v>360</v>
      </c>
      <c r="F19" s="1"/>
      <c r="G19" s="324"/>
      <c r="H19" s="1"/>
      <c r="I19" s="310" t="str">
        <f ca="1">IF(AmSteps&gt;3,7,CONCATENATE("7 - ",ROUNDUP(L14/12,0)))</f>
        <v>7 - 40</v>
      </c>
      <c r="J19" s="255">
        <f ca="1">HLOOKUP($E$6,Seconds,8,FALSE)</f>
        <v>0.04</v>
      </c>
      <c r="K19" s="256">
        <f ca="1">HLOOKUP($E$6,Seconds,12,FALSE)</f>
        <v>311.26057648283444</v>
      </c>
      <c r="L19" s="251">
        <f ca="1">IF(AmSteps=3,L14-SUM(L17:L18),12)</f>
        <v>408</v>
      </c>
      <c r="M19" s="234"/>
    </row>
    <row r="20" spans="1:13">
      <c r="A20" s="12"/>
      <c r="B20" s="146" t="s">
        <v>81</v>
      </c>
      <c r="C20" s="1"/>
      <c r="D20" s="1"/>
      <c r="E20" s="36">
        <v>6.5000000000000002E-2</v>
      </c>
      <c r="F20" s="1"/>
      <c r="G20" s="324"/>
      <c r="H20" s="1"/>
      <c r="I20" s="310" t="str">
        <f ca="1">IF(AmSteps&gt;4,8,CONCATENATE("8 - ",ROUNDUP(L14/12,0)))</f>
        <v>8 - 40</v>
      </c>
      <c r="J20" s="255" t="str">
        <f ca="1">HLOOKUP($E$6,Seconds,9,FALSE)</f>
        <v/>
      </c>
      <c r="K20" s="256" t="str">
        <f ca="1">HLOOKUP($E$6,Seconds,13,FALSE)</f>
        <v/>
      </c>
      <c r="L20" s="251">
        <f ca="1">IF(AmSteps=4,L14-SUM(L17:L19),12)</f>
        <v>12</v>
      </c>
      <c r="M20" s="234"/>
    </row>
    <row r="21" spans="1:13">
      <c r="A21" s="12"/>
      <c r="B21" s="146" t="s">
        <v>104</v>
      </c>
      <c r="C21" s="1"/>
      <c r="D21" s="1"/>
      <c r="E21" s="277" t="s">
        <v>105</v>
      </c>
      <c r="F21" s="1"/>
      <c r="G21" s="324"/>
      <c r="H21" s="1"/>
      <c r="I21" s="310" t="str">
        <f ca="1">IF(AmSteps&gt;5,9,CONCATENATE("9 - ",ROUNDUP(L14/12,0)))</f>
        <v>9 - 40</v>
      </c>
      <c r="J21" s="255" t="str">
        <f ca="1">HLOOKUP($E$6,Seconds,10,FALSE)</f>
        <v/>
      </c>
      <c r="K21" s="256" t="str">
        <f ca="1">HLOOKUP($E$6,Seconds,14,FALSE)</f>
        <v/>
      </c>
      <c r="L21" s="251">
        <f ca="1">IF(AmSteps=5,L14-SUM(L17:L20),12)</f>
        <v>12</v>
      </c>
      <c r="M21" s="234"/>
    </row>
    <row r="22" spans="1:13">
      <c r="A22" s="12"/>
      <c r="B22" s="146" t="s">
        <v>51</v>
      </c>
      <c r="C22" s="1"/>
      <c r="D22" s="1"/>
      <c r="E22" s="32">
        <v>39448</v>
      </c>
      <c r="F22" s="1"/>
      <c r="G22" s="324"/>
      <c r="H22" s="1"/>
      <c r="I22" s="315"/>
      <c r="J22" s="316"/>
      <c r="K22" s="244"/>
      <c r="L22" s="44"/>
      <c r="M22" s="234"/>
    </row>
    <row r="23" spans="1:13">
      <c r="A23" s="12"/>
      <c r="B23" s="319" t="s">
        <v>124</v>
      </c>
      <c r="C23" s="1"/>
      <c r="D23" s="320"/>
      <c r="E23" s="347" t="s">
        <v>197</v>
      </c>
      <c r="F23" s="1"/>
      <c r="G23" s="324"/>
      <c r="H23" s="332"/>
      <c r="I23" s="408" t="str">
        <f>IF(Am2nd=0,"Interest Only Option","")</f>
        <v/>
      </c>
      <c r="J23" s="408"/>
      <c r="K23" s="408"/>
      <c r="L23" s="408"/>
      <c r="M23" s="333"/>
    </row>
    <row r="24" spans="1:13">
      <c r="A24" s="12"/>
      <c r="B24" s="319" t="s">
        <v>166</v>
      </c>
      <c r="C24" s="1"/>
      <c r="D24" s="1"/>
      <c r="E24" s="312">
        <v>44228</v>
      </c>
      <c r="F24" s="1"/>
      <c r="G24" s="324"/>
      <c r="H24" s="1"/>
      <c r="I24" s="317"/>
      <c r="J24" s="317"/>
      <c r="K24" s="317"/>
      <c r="L24" s="317"/>
      <c r="M24" s="234"/>
    </row>
    <row r="25" spans="1:13">
      <c r="A25" s="12"/>
      <c r="B25" s="319" t="str">
        <f>IF(E23="Partially Amortizing","Amortizing Balance","")</f>
        <v/>
      </c>
      <c r="D25" s="320"/>
      <c r="E25" s="303">
        <v>200000</v>
      </c>
      <c r="F25" s="1"/>
      <c r="G25" s="324"/>
      <c r="H25" s="1"/>
      <c r="I25" s="146" t="s">
        <v>131</v>
      </c>
      <c r="J25" s="1"/>
      <c r="K25" s="1"/>
      <c r="L25" s="256">
        <f ca="1">HLOOKUP($E$6,IntOnly2nd,2,FALSE)</f>
        <v>131.45747890866116</v>
      </c>
      <c r="M25" s="234"/>
    </row>
    <row r="26" spans="1:13">
      <c r="A26" s="12"/>
      <c r="B26" s="1"/>
      <c r="C26" s="1"/>
      <c r="D26" s="1"/>
      <c r="E26" s="1"/>
      <c r="F26" s="1"/>
      <c r="G26" s="324"/>
      <c r="H26" s="1"/>
      <c r="I26" s="146" t="s">
        <v>128</v>
      </c>
      <c r="J26" s="1"/>
      <c r="K26" s="1"/>
      <c r="L26" s="256">
        <f ca="1">HLOOKUP($E$6,IntOnly2nd,3,FALSE)</f>
        <v>90031.195953251154</v>
      </c>
      <c r="M26" s="234"/>
    </row>
    <row r="27" spans="1:13">
      <c r="A27" s="417" t="s">
        <v>125</v>
      </c>
      <c r="B27" s="418"/>
      <c r="C27" s="418"/>
      <c r="D27" s="418"/>
      <c r="E27" s="418"/>
      <c r="F27" s="418"/>
      <c r="G27" s="324"/>
      <c r="H27" s="1"/>
      <c r="I27" s="146" t="s">
        <v>132</v>
      </c>
      <c r="J27" s="1"/>
      <c r="K27" s="1"/>
      <c r="L27" s="256">
        <f ca="1">HLOOKUP($E$6,IntOnly2nd,4,FALSE)</f>
        <v>11156.708608054461</v>
      </c>
      <c r="M27" s="234"/>
    </row>
    <row r="28" spans="1:13">
      <c r="A28" s="12"/>
      <c r="B28" s="146" t="s">
        <v>68</v>
      </c>
      <c r="C28" s="1"/>
      <c r="D28" s="1"/>
      <c r="E28" s="94" t="s">
        <v>195</v>
      </c>
      <c r="F28" s="1"/>
      <c r="G28" s="324"/>
      <c r="H28" s="1"/>
      <c r="I28" s="146" t="s">
        <v>129</v>
      </c>
      <c r="J28" s="1"/>
      <c r="K28" s="1"/>
      <c r="L28" s="255">
        <f ca="1">HLOOKUP($E$6,IntOnly2nd,5,FALSE)</f>
        <v>0.02</v>
      </c>
      <c r="M28" s="234"/>
    </row>
    <row r="29" spans="1:13">
      <c r="A29" s="12"/>
      <c r="B29" s="319" t="str">
        <f>IF(infotype2=1,IF(NOT(E23="Amortizing"),"Cannot Calculate Using Default Date Only","Estimate Arrears and UPB:"),"Enter UPB at Default:")</f>
        <v>Estimate Arrears and UPB:</v>
      </c>
      <c r="C29" s="1"/>
      <c r="D29" s="1"/>
      <c r="E29" s="95">
        <v>21250</v>
      </c>
      <c r="F29" s="1"/>
      <c r="G29" s="324"/>
      <c r="H29" s="1"/>
      <c r="I29" s="146" t="s">
        <v>130</v>
      </c>
      <c r="J29" s="1"/>
      <c r="K29" s="1"/>
      <c r="L29" s="302">
        <f ca="1">HLOOKUP($E$6,IntOnly2nd,6,FALSE)</f>
        <v>480</v>
      </c>
      <c r="M29" s="234"/>
    </row>
    <row r="30" spans="1:13">
      <c r="A30" s="12"/>
      <c r="B30" s="321" t="str">
        <f>IF(infotype2=2,"Estimate Arrears:",IF(infotype2=3,"Enter Amount of Arrears:",""))</f>
        <v/>
      </c>
      <c r="C30" s="1"/>
      <c r="D30" s="1"/>
      <c r="E30" s="95">
        <f>11486.33+163.39</f>
        <v>11649.72</v>
      </c>
      <c r="F30" s="1"/>
      <c r="G30" s="324"/>
      <c r="H30" s="1"/>
      <c r="I30" s="203" t="s">
        <v>165</v>
      </c>
      <c r="J30" s="1"/>
      <c r="K30" s="1"/>
      <c r="L30" s="302">
        <f ca="1">'Data Validation'!K13</f>
        <v>61</v>
      </c>
      <c r="M30" s="234"/>
    </row>
    <row r="31" spans="1:13">
      <c r="A31" s="12"/>
      <c r="B31" s="16" t="str">
        <f>IF(infotype2=3,"","Default Date")</f>
        <v>Default Date</v>
      </c>
      <c r="C31" s="1"/>
      <c r="D31" s="1"/>
      <c r="E31" s="32">
        <v>41244</v>
      </c>
      <c r="F31" s="1"/>
      <c r="G31" s="324"/>
      <c r="H31" s="1"/>
      <c r="I31" s="1"/>
      <c r="J31" s="1"/>
      <c r="K31" s="1"/>
      <c r="L31" s="1"/>
      <c r="M31" s="234"/>
    </row>
    <row r="32" spans="1:13">
      <c r="A32" s="12"/>
      <c r="B32" s="16" t="str">
        <f>IF(infotype2=3,"","Today's Date")</f>
        <v>Today's Date</v>
      </c>
      <c r="C32" s="1"/>
      <c r="D32" s="1"/>
      <c r="E32" s="185">
        <f ca="1">TODAY()</f>
        <v>42349</v>
      </c>
      <c r="F32" s="1"/>
      <c r="G32" s="324"/>
      <c r="H32" s="1"/>
      <c r="I32" s="317" t="s">
        <v>73</v>
      </c>
      <c r="J32" s="317" t="s">
        <v>136</v>
      </c>
      <c r="K32" s="317" t="s">
        <v>137</v>
      </c>
      <c r="L32" s="317" t="s">
        <v>77</v>
      </c>
      <c r="M32" s="234"/>
    </row>
    <row r="33" spans="1:13">
      <c r="A33" s="12"/>
      <c r="B33" s="52" t="str">
        <f>IF(infotype2=3,"","Total Months in Default")</f>
        <v>Total Months in Default</v>
      </c>
      <c r="C33" s="1"/>
      <c r="D33" s="5"/>
      <c r="E33" s="33">
        <f ca="1">ROUNDUP((DAYS360(E31,E32))/30,0)</f>
        <v>37</v>
      </c>
      <c r="F33" s="1"/>
      <c r="G33" s="324"/>
      <c r="H33" s="1"/>
      <c r="I33" s="307" t="str">
        <f>"1 - 5"</f>
        <v>1 - 5</v>
      </c>
      <c r="J33" s="249">
        <f ca="1">L28</f>
        <v>0.02</v>
      </c>
      <c r="K33" s="250">
        <f ca="1">J33/12*(L26-L27)</f>
        <v>131.45747890866116</v>
      </c>
      <c r="L33" s="313">
        <v>60</v>
      </c>
      <c r="M33" s="234"/>
    </row>
    <row r="34" spans="1:13">
      <c r="A34" s="12"/>
      <c r="B34" s="203" t="s">
        <v>123</v>
      </c>
      <c r="C34" s="1"/>
      <c r="D34" s="5"/>
      <c r="E34" s="58">
        <f>IF(infotype2=1,PV(E20/12,E19-ROUNDUP((E31-E22)/30,0),PMT(E20/12,E19,E18)),E29)</f>
        <v>74888.781953251149</v>
      </c>
      <c r="F34" s="1"/>
      <c r="G34" s="324"/>
      <c r="H34" s="1"/>
      <c r="I34" s="310" t="str">
        <f ca="1">CONCATENATE(ROUNDUP((SUM(L$33:L33)+1)/12,0),IF(L34&gt;12," - ",""),IF(L34&gt;12,ROUNDUP(SUM(L$33:L34)/12,0),""))</f>
        <v>6</v>
      </c>
      <c r="J34" s="255">
        <f ca="1">HLOOKUP($E$6,NonAM,7,FALSE)</f>
        <v>0.03</v>
      </c>
      <c r="K34" s="256">
        <f ca="1">HLOOKUP($E$6,NonAM,12,FALSE)</f>
        <v>197.18621836299172</v>
      </c>
      <c r="L34" s="314">
        <f ca="1">HLOOKUP($E$6,NonAM,22,FALSE)</f>
        <v>1</v>
      </c>
      <c r="M34" s="234"/>
    </row>
    <row r="35" spans="1:13">
      <c r="A35" s="12"/>
      <c r="B35" s="203" t="s">
        <v>127</v>
      </c>
      <c r="C35" s="1"/>
      <c r="D35" s="5"/>
      <c r="E35" s="58">
        <f ca="1">ROUND(E20/12*E34,2)*E33+(DAY(E32)-DAY(E31))*ROUND(E20/365*E34,4)</f>
        <v>15142.413999999999</v>
      </c>
      <c r="F35" s="1"/>
      <c r="G35" s="324"/>
      <c r="H35" s="1"/>
      <c r="I35" s="310" t="str">
        <f ca="1">CONCATENATE(ROUNDUP((SUM(L$33:L34)+1)/12,0),IF(L35&gt;12," - ",""),IF(L35&gt;12,ROUNDUP(SUM(L$33:L35)/12,0),""))</f>
        <v>6</v>
      </c>
      <c r="J35" s="255">
        <f ca="1">HLOOKUP($E$6,NonAM,8,FALSE)</f>
        <v>0.03</v>
      </c>
      <c r="K35" s="256">
        <f ca="1">HLOOKUP($E$6,NonAM,13,FALSE)</f>
        <v>303.9585029814242</v>
      </c>
      <c r="L35" s="314">
        <f ca="1">HLOOKUP($E$6,NonAM,23,FALSE)</f>
        <v>11</v>
      </c>
      <c r="M35" s="234"/>
    </row>
    <row r="36" spans="1:13">
      <c r="A36" s="12"/>
      <c r="B36" s="203" t="s">
        <v>126</v>
      </c>
      <c r="C36" s="1"/>
      <c r="D36" s="1"/>
      <c r="E36" s="342">
        <v>0</v>
      </c>
      <c r="F36" s="1"/>
      <c r="G36" s="324"/>
      <c r="H36" s="1"/>
      <c r="I36" s="310" t="str">
        <f ca="1">CONCATENATE(ROUNDUP((SUM(L$33:L35)+1)/12,0),IF(L36&gt;12," - ",""),IF(L36&gt;12,ROUNDUP(SUM(L$33:L36)/12,0),""))</f>
        <v>7 - 40</v>
      </c>
      <c r="J36" s="255">
        <f ca="1">HLOOKUP($E$6,NonAM,9,FALSE)</f>
        <v>0.04</v>
      </c>
      <c r="K36" s="256">
        <f ca="1">HLOOKUP($E$6,NonAM,14,FALSE)</f>
        <v>348.63392390306927</v>
      </c>
      <c r="L36" s="314">
        <f ca="1">HLOOKUP($E$6,NonAM,24,FALSE)</f>
        <v>408</v>
      </c>
      <c r="M36" s="234"/>
    </row>
    <row r="37" spans="1:13">
      <c r="A37" s="12"/>
      <c r="B37" s="146" t="s">
        <v>101</v>
      </c>
      <c r="C37" s="1"/>
      <c r="D37" s="1"/>
      <c r="E37" s="298">
        <f ca="1">IF(infotype2=3,E29+E30,E34+E35+E36)</f>
        <v>90031.195953251154</v>
      </c>
      <c r="F37" s="1"/>
      <c r="G37" s="324"/>
      <c r="H37" s="1"/>
      <c r="I37" s="310" t="str">
        <f ca="1">CONCATENATE(ROUNDUP((SUM(L$33:L36)+1)/12,0),IF(L37&gt;12," - ",""),IF(L37&gt;12,ROUNDUP(SUM(L$39:L39)/12,0),""))</f>
        <v>41 - 0</v>
      </c>
      <c r="J37" s="255" t="str">
        <f ca="1">HLOOKUP($E$6,NonAM,10,FALSE)</f>
        <v/>
      </c>
      <c r="K37" s="256" t="str">
        <f ca="1">HLOOKUP($E$6,NonAM,15,FALSE)</f>
        <v/>
      </c>
      <c r="L37" s="314" t="str">
        <f ca="1">HLOOKUP($E$6,NonAM,25,FALSE)</f>
        <v/>
      </c>
      <c r="M37" s="234"/>
    </row>
    <row r="38" spans="1:13">
      <c r="A38" s="12"/>
      <c r="B38" s="1"/>
      <c r="C38" s="1"/>
      <c r="D38" s="1"/>
      <c r="E38" s="1"/>
      <c r="F38" s="1"/>
      <c r="G38" s="324"/>
      <c r="H38" s="1"/>
      <c r="I38" s="1"/>
      <c r="J38" s="1"/>
      <c r="K38" s="1"/>
      <c r="L38" s="1"/>
      <c r="M38" s="234"/>
    </row>
    <row r="39" spans="1:13">
      <c r="A39" s="335" t="str">
        <f>'Data Validation'!J4</f>
        <v>Current as of Supplemental Directive 15-08</v>
      </c>
      <c r="B39" s="20"/>
      <c r="C39" s="20"/>
      <c r="D39" s="20"/>
      <c r="E39" s="20"/>
      <c r="F39" s="20"/>
      <c r="G39" s="326"/>
      <c r="H39" s="20"/>
      <c r="I39" s="20"/>
      <c r="J39" s="20"/>
      <c r="K39" s="20"/>
      <c r="L39" s="20"/>
      <c r="M39" s="322"/>
    </row>
  </sheetData>
  <sheetProtection sheet="1" objects="1" scenarios="1"/>
  <mergeCells count="8">
    <mergeCell ref="F1:M1"/>
    <mergeCell ref="I8:L8"/>
    <mergeCell ref="H3:M4"/>
    <mergeCell ref="A27:F27"/>
    <mergeCell ref="I23:L23"/>
    <mergeCell ref="A3:F4"/>
    <mergeCell ref="A2:M2"/>
    <mergeCell ref="A14:F15"/>
  </mergeCells>
  <conditionalFormatting sqref="E8:E11 E13">
    <cfRule type="expression" dxfId="25" priority="31">
      <formula>IF($E$6="Custom",0,1)</formula>
    </cfRule>
  </conditionalFormatting>
  <conditionalFormatting sqref="E7">
    <cfRule type="expression" dxfId="24" priority="30">
      <formula>IF($E$6="Custom",0,1)</formula>
    </cfRule>
  </conditionalFormatting>
  <conditionalFormatting sqref="E30">
    <cfRule type="expression" dxfId="23" priority="27">
      <formula>IF(infotype2=1,1,0)</formula>
    </cfRule>
    <cfRule type="expression" dxfId="22" priority="28">
      <formula>IF(infotype2=2,1,0)</formula>
    </cfRule>
  </conditionalFormatting>
  <conditionalFormatting sqref="E29">
    <cfRule type="expression" dxfId="21" priority="26">
      <formula>IF(infotype2=1,1,0)</formula>
    </cfRule>
  </conditionalFormatting>
  <conditionalFormatting sqref="D32:E37 B32:B37">
    <cfRule type="expression" dxfId="20" priority="25">
      <formula>IF(infotype2=3,1,0)</formula>
    </cfRule>
  </conditionalFormatting>
  <conditionalFormatting sqref="E31">
    <cfRule type="expression" dxfId="19" priority="24">
      <formula>IF(infotype2=3,1,0)</formula>
    </cfRule>
  </conditionalFormatting>
  <conditionalFormatting sqref="I37:L37">
    <cfRule type="expression" dxfId="18" priority="19">
      <formula>IF(nonamsteps&lt;4,1,0)</formula>
    </cfRule>
    <cfRule type="expression" dxfId="17" priority="20">
      <formula>IF(nonamsteps=4,1,0)</formula>
    </cfRule>
  </conditionalFormatting>
  <conditionalFormatting sqref="I36:L36">
    <cfRule type="expression" dxfId="16" priority="17">
      <formula>IF(nonamsteps&lt;3,1,0)</formula>
    </cfRule>
    <cfRule type="expression" dxfId="15" priority="18">
      <formula>IF(nonamsteps=3,1,0)</formula>
    </cfRule>
  </conditionalFormatting>
  <conditionalFormatting sqref="I35:L35">
    <cfRule type="expression" dxfId="14" priority="16">
      <formula>IF(nonamsteps=2,1,0)</formula>
    </cfRule>
  </conditionalFormatting>
  <conditionalFormatting sqref="I20:L20">
    <cfRule type="expression" dxfId="13" priority="12">
      <formula>IF(AmSteps=3,1,0)</formula>
    </cfRule>
    <cfRule type="expression" dxfId="12" priority="13">
      <formula>IF(AmSteps&lt;3,1,0)</formula>
    </cfRule>
  </conditionalFormatting>
  <conditionalFormatting sqref="I19:L19">
    <cfRule type="expression" dxfId="11" priority="11">
      <formula>IF(AmSteps&lt;=2,1,0)</formula>
    </cfRule>
  </conditionalFormatting>
  <conditionalFormatting sqref="D30:E37 J31:K36 I37:L37 B30:B37 N3:V3 F20:F26 I10:I22 K10:K22 I25:I36 L25:L36 H21:H31 J8:J22 L8:L22">
    <cfRule type="expression" dxfId="10" priority="43" stopIfTrue="1">
      <formula>IF($B$29="Cannot Calculate Using Default Date Only",1,0)</formula>
    </cfRule>
  </conditionalFormatting>
  <conditionalFormatting sqref="I21:L21">
    <cfRule type="expression" dxfId="9" priority="14">
      <formula>IF(AmSteps&lt;4,1,0)</formula>
    </cfRule>
    <cfRule type="expression" dxfId="8" priority="15">
      <formula>IF(AmSteps=4,1,0)</formula>
    </cfRule>
  </conditionalFormatting>
  <conditionalFormatting sqref="I25:L38">
    <cfRule type="expression" dxfId="7" priority="10" stopIfTrue="1">
      <formula>IF(Am2nd=1,1,0)</formula>
    </cfRule>
  </conditionalFormatting>
  <conditionalFormatting sqref="E25 B24">
    <cfRule type="expression" dxfId="6" priority="7">
      <formula>IF($E$23="Amortizing",1,0)</formula>
    </cfRule>
  </conditionalFormatting>
  <conditionalFormatting sqref="E25">
    <cfRule type="expression" dxfId="5" priority="6">
      <formula>IF($E$23="Interest Only",1,0)</formula>
    </cfRule>
  </conditionalFormatting>
  <conditionalFormatting sqref="E24">
    <cfRule type="expression" dxfId="4" priority="5">
      <formula>IF($E$23="Amortizing",1,0)</formula>
    </cfRule>
  </conditionalFormatting>
  <conditionalFormatting sqref="E12">
    <cfRule type="expression" dxfId="3" priority="4">
      <formula>IF(AND(E6="Custom",E8=E9),1,0)</formula>
    </cfRule>
  </conditionalFormatting>
  <conditionalFormatting sqref="B29">
    <cfRule type="expression" dxfId="2" priority="3">
      <formula>IF(infotype2=1,1,0)</formula>
    </cfRule>
  </conditionalFormatting>
  <conditionalFormatting sqref="I7:L38">
    <cfRule type="expression" dxfId="1" priority="2" stopIfTrue="1">
      <formula>IF(OR($E$6="",small=1,ISERROR(HLOOKUP($E$6,Seconds,2,FALSE))),1,0)</formula>
    </cfRule>
  </conditionalFormatting>
  <conditionalFormatting sqref="M8 M23 H8 H23">
    <cfRule type="expression" dxfId="0" priority="1">
      <formula>IF(OR($E$6="",small=1,ISERROR(HLOOKUP($E$6,Seconds,2,FALSE))),1,0)</formula>
    </cfRule>
  </conditionalFormatting>
  <dataValidations count="9">
    <dataValidation type="date" allowBlank="1" showErrorMessage="1" errorTitle="Improper Date" error="Default Date cell must contain a valid date after the first payment is due, but before today." promptTitle="Default Date" prompt="Enter the date of default" sqref="E31">
      <formula1>E22</formula1>
      <formula2>E32</formula2>
    </dataValidation>
    <dataValidation allowBlank="1" showErrorMessage="1" promptTitle="Default Date" prompt="Enter the date of the first missed payment." sqref="B31"/>
    <dataValidation type="list" allowBlank="1" showInputMessage="1" showErrorMessage="1" sqref="E28">
      <formula1>"Capitalized UPB, UPB at Default, Only Default Date"</formula1>
    </dataValidation>
    <dataValidation allowBlank="1" showInputMessage="1" showErrorMessage="1" promptTitle="Date of First Payment" prompt="Enter the date on which the first payment was due.  This is different than the origination date." sqref="B22"/>
    <dataValidation type="list" allowBlank="1" showInputMessage="1" showErrorMessage="1" promptTitle="Rate Type" prompt="Fixed Rate - rate does not change_x000a_Adjustable Rate - rate is tied to a fluctuating index_x000a_Step Rate - rate adjusts, but is not tied to an index (e.g. HAMP mods)" sqref="E21">
      <formula1>"Fixed Rate, Adjustable Rate, Step Rate"</formula1>
    </dataValidation>
    <dataValidation type="list" allowBlank="1" showInputMessage="1" showErrorMessage="1" sqref="E23">
      <formula1>"Amortizing, Interest Only, Partially Amortizing"</formula1>
    </dataValidation>
    <dataValidation type="list" allowBlank="1" showInputMessage="1" showErrorMessage="1" sqref="E17">
      <formula1>Servicer_2MP</formula1>
    </dataValidation>
    <dataValidation type="list" allowBlank="1" showInputMessage="1" showErrorMessage="1" sqref="E6:F6 G5">
      <formula1>Mods</formula1>
    </dataValidation>
    <dataValidation allowBlank="1" showErrorMessage="1" sqref="H8"/>
  </dataValidations>
  <hyperlinks>
    <hyperlink ref="F1" r:id="rId1"/>
  </hyperlinks>
  <pageMargins left="0.7" right="0.7" top="0.75" bottom="0.75" header="0.3" footer="0.3"/>
  <pageSetup orientation="landscape" r:id="rId2"/>
  <ignoredErrors>
    <ignoredError sqref="K3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45</vt:i4>
      </vt:variant>
    </vt:vector>
  </HeadingPairs>
  <TitlesOfParts>
    <vt:vector size="51" baseType="lpstr">
      <vt:lpstr>Inputs</vt:lpstr>
      <vt:lpstr>HAMP Tier 1</vt:lpstr>
      <vt:lpstr>Tier 2 - Standard</vt:lpstr>
      <vt:lpstr>Mod Terms</vt:lpstr>
      <vt:lpstr>Data Validation</vt:lpstr>
      <vt:lpstr>2MP</vt:lpstr>
      <vt:lpstr>AffNeg</vt:lpstr>
      <vt:lpstr>Am2nd</vt:lpstr>
      <vt:lpstr>amstep</vt:lpstr>
      <vt:lpstr>AmSteps</vt:lpstr>
      <vt:lpstr>Current</vt:lpstr>
      <vt:lpstr>DTI</vt:lpstr>
      <vt:lpstr>DTI_Range</vt:lpstr>
      <vt:lpstr>GMI</vt:lpstr>
      <vt:lpstr>infotype</vt:lpstr>
      <vt:lpstr>infotype2</vt:lpstr>
      <vt:lpstr>IntOnly2nd</vt:lpstr>
      <vt:lpstr>LoanType</vt:lpstr>
      <vt:lpstr>MaxDTI</vt:lpstr>
      <vt:lpstr>MinDTI</vt:lpstr>
      <vt:lpstr>Mods</vt:lpstr>
      <vt:lpstr>NonAM</vt:lpstr>
      <vt:lpstr>nonamsteps</vt:lpstr>
      <vt:lpstr>numsteps</vt:lpstr>
      <vt:lpstr>Numsteps2</vt:lpstr>
      <vt:lpstr>Owner</vt:lpstr>
      <vt:lpstr>Payoff</vt:lpstr>
      <vt:lpstr>Payoff2</vt:lpstr>
      <vt:lpstr>PIFAIL</vt:lpstr>
      <vt:lpstr>PIREDUCTION</vt:lpstr>
      <vt:lpstr>PMMS</vt:lpstr>
      <vt:lpstr>PMUPB</vt:lpstr>
      <vt:lpstr>rangeunknown</vt:lpstr>
      <vt:lpstr>RateType</vt:lpstr>
      <vt:lpstr>Rental</vt:lpstr>
      <vt:lpstr>Seconds</vt:lpstr>
      <vt:lpstr>SecondServicer</vt:lpstr>
      <vt:lpstr>Servicer</vt:lpstr>
      <vt:lpstr>Servicer_2MP</vt:lpstr>
      <vt:lpstr>Servicer_List</vt:lpstr>
      <vt:lpstr>sline</vt:lpstr>
      <vt:lpstr>small</vt:lpstr>
      <vt:lpstr>T2DEBT</vt:lpstr>
      <vt:lpstr>T2PITIA</vt:lpstr>
      <vt:lpstr>Tier2_Outcome</vt:lpstr>
      <vt:lpstr>TierOne</vt:lpstr>
      <vt:lpstr>TierTwo</vt:lpstr>
      <vt:lpstr>TODAY</vt:lpstr>
      <vt:lpstr>TYPE</vt:lpstr>
      <vt:lpstr>UPB</vt:lpstr>
      <vt:lpstr>Value</vt:lpstr>
    </vt:vector>
  </TitlesOfParts>
  <Company>Eastside Community Development Corp.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MFY Legal Services</dc:creator>
  <cp:lastModifiedBy>Joseph Rebella</cp:lastModifiedBy>
  <cp:lastPrinted>2015-03-26T16:40:44Z</cp:lastPrinted>
  <dcterms:created xsi:type="dcterms:W3CDTF">2010-03-17T18:01:29Z</dcterms:created>
  <dcterms:modified xsi:type="dcterms:W3CDTF">2015-12-11T17:09:53Z</dcterms:modified>
</cp:coreProperties>
</file>